
<file path=[Content_Types].xml><?xml version="1.0" encoding="utf-8"?>
<Types xmlns="http://schemas.openxmlformats.org/package/2006/content-types">
  <Override PartName="/xl/externalLinks/externalLink78.xml" ContentType="application/vnd.openxmlformats-officedocument.spreadsheetml.externalLink+xml"/>
  <Override PartName="/xl/worksheets/sheet13.xml" ContentType="application/vnd.openxmlformats-officedocument.spreadsheetml.worksheet+xml"/>
  <Override PartName="/xl/externalLinks/externalLink9.xml" ContentType="application/vnd.openxmlformats-officedocument.spreadsheetml.externalLink+xml"/>
  <Override PartName="/xl/externalLinks/externalLink38.xml" ContentType="application/vnd.openxmlformats-officedocument.spreadsheetml.externalLink+xml"/>
  <Override PartName="/xl/externalLinks/externalLink49.xml" ContentType="application/vnd.openxmlformats-officedocument.spreadsheetml.externalLink+xml"/>
  <Override PartName="/xl/externalLinks/externalLink67.xml" ContentType="application/vnd.openxmlformats-officedocument.spreadsheetml.externalLink+xml"/>
  <Override PartName="/xl/externalLinks/externalLink85.xml" ContentType="application/vnd.openxmlformats-officedocument.spreadsheetml.externalLink+xml"/>
  <Override PartName="/xl/externalLinks/externalLink96.xml" ContentType="application/vnd.openxmlformats-officedocument.spreadsheetml.externalLink+xml"/>
  <Override PartName="/xl/styles.xml" ContentType="application/vnd.openxmlformats-officedocument.spreadsheetml.styles+xml"/>
  <Override PartName="/xl/worksheets/sheet7.xml" ContentType="application/vnd.openxmlformats-officedocument.spreadsheetml.worksheet+xml"/>
  <Override PartName="/xl/externalLinks/externalLink27.xml" ContentType="application/vnd.openxmlformats-officedocument.spreadsheetml.externalLink+xml"/>
  <Override PartName="/xl/externalLinks/externalLink45.xml" ContentType="application/vnd.openxmlformats-officedocument.spreadsheetml.externalLink+xml"/>
  <Override PartName="/xl/externalLinks/externalLink56.xml" ContentType="application/vnd.openxmlformats-officedocument.spreadsheetml.externalLink+xml"/>
  <Override PartName="/xl/externalLinks/externalLink74.xml" ContentType="application/vnd.openxmlformats-officedocument.spreadsheetml.externalLink+xml"/>
  <Override PartName="/xl/externalLinks/externalLink92.xml" ContentType="application/vnd.openxmlformats-officedocument.spreadsheetml.externalLink+xml"/>
  <Override PartName="/xl/externalLinks/externalLink105.xml" ContentType="application/vnd.openxmlformats-officedocument.spreadsheetml.externalLink+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34.xml" ContentType="application/vnd.openxmlformats-officedocument.spreadsheetml.externalLink+xml"/>
  <Override PartName="/xl/externalLinks/externalLink63.xml" ContentType="application/vnd.openxmlformats-officedocument.spreadsheetml.externalLink+xml"/>
  <Override PartName="/xl/externalLinks/externalLink81.xml" ContentType="application/vnd.openxmlformats-officedocument.spreadsheetml.externalLink+xml"/>
  <Override PartName="/xl/externalLinks/externalLink101.xml" ContentType="application/vnd.openxmlformats-officedocument.spreadsheetml.externalLink+xml"/>
  <Override PartName="/xl/drawings/drawing2.xml" ContentType="application/vnd.openxmlformats-officedocument.drawing+xml"/>
  <Override PartName="/xl/worksheets/sheet3.xml" ContentType="application/vnd.openxmlformats-officedocument.spreadsheetml.worksheet+xml"/>
  <Override PartName="/xl/externalLinks/externalLink23.xml" ContentType="application/vnd.openxmlformats-officedocument.spreadsheetml.externalLink+xml"/>
  <Override PartName="/xl/externalLinks/externalLink41.xml" ContentType="application/vnd.openxmlformats-officedocument.spreadsheetml.externalLink+xml"/>
  <Override PartName="/xl/externalLinks/externalLink52.xml" ContentType="application/vnd.openxmlformats-officedocument.spreadsheetml.externalLink+xml"/>
  <Override PartName="/xl/externalLinks/externalLink70.xml" ContentType="application/vnd.openxmlformats-officedocument.spreadsheetml.externalLink+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30.xml" ContentType="application/vnd.openxmlformats-officedocument.spreadsheetml.externalLink+xml"/>
  <Override PartName="/xl/sharedStrings.xml" ContentType="application/vnd.openxmlformats-officedocument.spreadsheetml.sharedStrings+xml"/>
  <Override PartName="/xl/worksheets/sheet16.xml" ContentType="application/vnd.openxmlformats-officedocument.spreadsheetml.worksheet+xml"/>
  <Override PartName="/xl/externalLinks/externalLink59.xml" ContentType="application/vnd.openxmlformats-officedocument.spreadsheetml.externalLink+xml"/>
  <Override PartName="/xl/externalLinks/externalLink68.xml" ContentType="application/vnd.openxmlformats-officedocument.spreadsheetml.externalLink+xml"/>
  <Override PartName="/xl/externalLinks/externalLink79.xml" ContentType="application/vnd.openxmlformats-officedocument.spreadsheetml.externalLink+xml"/>
  <Override PartName="/xl/externalLinks/externalLink88.xml" ContentType="application/vnd.openxmlformats-officedocument.spreadsheetml.externalLink+xml"/>
  <Override PartName="/xl/externalLinks/externalLink97.xml" ContentType="application/vnd.openxmlformats-officedocument.spreadsheetml.externalLink+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57.xml" ContentType="application/vnd.openxmlformats-officedocument.spreadsheetml.externalLink+xml"/>
  <Override PartName="/xl/externalLinks/externalLink66.xml" ContentType="application/vnd.openxmlformats-officedocument.spreadsheetml.externalLink+xml"/>
  <Override PartName="/xl/externalLinks/externalLink77.xml" ContentType="application/vnd.openxmlformats-officedocument.spreadsheetml.externalLink+xml"/>
  <Override PartName="/xl/externalLinks/externalLink86.xml" ContentType="application/vnd.openxmlformats-officedocument.spreadsheetml.externalLink+xml"/>
  <Override PartName="/xl/externalLinks/externalLink95.xml" ContentType="application/vnd.openxmlformats-officedocument.spreadsheetml.externalLink+xml"/>
  <Override PartName="/xl/externalLinks/externalLink106.xml" ContentType="application/vnd.openxmlformats-officedocument.spreadsheetml.externalLink+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externalLinks/externalLink64.xml" ContentType="application/vnd.openxmlformats-officedocument.spreadsheetml.externalLink+xml"/>
  <Override PartName="/xl/externalLinks/externalLink75.xml" ContentType="application/vnd.openxmlformats-officedocument.spreadsheetml.externalLink+xml"/>
  <Override PartName="/xl/externalLinks/externalLink84.xml" ContentType="application/vnd.openxmlformats-officedocument.spreadsheetml.externalLink+xml"/>
  <Override PartName="/xl/externalLinks/externalLink93.xml" ContentType="application/vnd.openxmlformats-officedocument.spreadsheetml.externalLink+xml"/>
  <Override PartName="/xl/externalLinks/externalLink104.xml" ContentType="application/vnd.openxmlformats-officedocument.spreadsheetml.externalLink+xml"/>
  <Default Extension="jpeg" ContentType="image/jpeg"/>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xl/externalLinks/externalLink62.xml" ContentType="application/vnd.openxmlformats-officedocument.spreadsheetml.externalLink+xml"/>
  <Override PartName="/xl/externalLinks/externalLink71.xml" ContentType="application/vnd.openxmlformats-officedocument.spreadsheetml.externalLink+xml"/>
  <Override PartName="/xl/externalLinks/externalLink73.xml" ContentType="application/vnd.openxmlformats-officedocument.spreadsheetml.externalLink+xml"/>
  <Override PartName="/xl/externalLinks/externalLink82.xml" ContentType="application/vnd.openxmlformats-officedocument.spreadsheetml.externalLink+xml"/>
  <Override PartName="/xl/externalLinks/externalLink91.xml" ContentType="application/vnd.openxmlformats-officedocument.spreadsheetml.externalLink+xml"/>
  <Override PartName="/xl/externalLinks/externalLink102.xml" ContentType="application/vnd.openxmlformats-officedocument.spreadsheetml.externalLink+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externalLinks/externalLink33.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60.xml" ContentType="application/vnd.openxmlformats-officedocument.spreadsheetml.externalLink+xml"/>
  <Override PartName="/xl/externalLinks/externalLink80.xml" ContentType="application/vnd.openxmlformats-officedocument.spreadsheetml.externalLink+xml"/>
  <Override PartName="/xl/externalLinks/externalLink100.xml" ContentType="application/vnd.openxmlformats-officedocument.spreadsheetml.externalLink+xml"/>
  <Override PartName="/xl/drawings/drawing1.xml" ContentType="application/vnd.openxmlformats-officedocument.drawing+xml"/>
  <Override PartName="/xl/externalLinks/externalLink11.xml" ContentType="application/vnd.openxmlformats-officedocument.spreadsheetml.externalLink+xml"/>
  <Override PartName="/xl/externalLinks/externalLink2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calcChain.xml" ContentType="application/vnd.openxmlformats-officedocument.spreadsheetml.calcChain+xml"/>
  <Override PartName="/xl/worksheets/sheet17.xml" ContentType="application/vnd.openxmlformats-officedocument.spreadsheetml.worksheet+xml"/>
  <Override PartName="/xl/externalLinks/externalLink89.xml" ContentType="application/vnd.openxmlformats-officedocument.spreadsheetml.externalLink+xml"/>
  <Override PartName="/docProps/core.xml" ContentType="application/vnd.openxmlformats-package.core-properties+xml"/>
  <Override PartName="/xl/worksheets/sheet15.xml" ContentType="application/vnd.openxmlformats-officedocument.spreadsheetml.worksheet+xml"/>
  <Override PartName="/xl/externalLinks/externalLink69.xml" ContentType="application/vnd.openxmlformats-officedocument.spreadsheetml.externalLink+xml"/>
  <Override PartName="/xl/externalLinks/externalLink87.xml" ContentType="application/vnd.openxmlformats-officedocument.spreadsheetml.externalLink+xml"/>
  <Override PartName="/xl/externalLinks/externalLink98.xml" ContentType="application/vnd.openxmlformats-officedocument.spreadsheetml.externalLink+xml"/>
  <Override PartName="/xl/worksheets/sheet9.xml" ContentType="application/vnd.openxmlformats-officedocument.spreadsheetml.worksheet+xml"/>
  <Override PartName="/xl/externalLinks/externalLink29.xml" ContentType="application/vnd.openxmlformats-officedocument.spreadsheetml.externalLink+xml"/>
  <Override PartName="/xl/externalLinks/externalLink47.xml" ContentType="application/vnd.openxmlformats-officedocument.spreadsheetml.externalLink+xml"/>
  <Override PartName="/xl/externalLinks/externalLink58.xml" ContentType="application/vnd.openxmlformats-officedocument.spreadsheetml.externalLink+xml"/>
  <Override PartName="/xl/externalLinks/externalLink76.xml" ContentType="application/vnd.openxmlformats-officedocument.spreadsheetml.externalLink+xml"/>
  <Override PartName="/xl/externalLinks/externalLink94.xml" ContentType="application/vnd.openxmlformats-officedocument.spreadsheetml.externalLink+xml"/>
  <Override PartName="/xl/externalLinks/externalLink107.xml" ContentType="application/vnd.openxmlformats-officedocument.spreadsheetml.externalLink+xml"/>
  <Override PartName="/xl/theme/theme1.xml" ContentType="application/vnd.openxmlformats-officedocument.theme+xml"/>
  <Override PartName="/xl/worksheets/sheet11.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36.xml" ContentType="application/vnd.openxmlformats-officedocument.spreadsheetml.externalLink+xml"/>
  <Override PartName="/xl/externalLinks/externalLink65.xml" ContentType="application/vnd.openxmlformats-officedocument.spreadsheetml.externalLink+xml"/>
  <Override PartName="/xl/externalLinks/externalLink83.xml" ContentType="application/vnd.openxmlformats-officedocument.spreadsheetml.externalLink+xml"/>
  <Override PartName="/xl/externalLinks/externalLink103.xml" ContentType="application/vnd.openxmlformats-officedocument.spreadsheetml.externalLink+xml"/>
  <Override PartName="/xl/drawings/drawing4.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externalLinks/externalLink25.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externalLinks/externalLink72.xml" ContentType="application/vnd.openxmlformats-officedocument.spreadsheetml.externalLink+xml"/>
  <Override PartName="/xl/externalLinks/externalLink90.xml" ContentType="application/vnd.openxmlformats-officedocument.spreadsheetml.externalLink+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32.xml" ContentType="application/vnd.openxmlformats-officedocument.spreadsheetml.externalLink+xml"/>
  <Override PartName="/xl/externalLinks/externalLink61.xml" ContentType="application/vnd.openxmlformats-officedocument.spreadsheetml.externalLink+xml"/>
  <Override PartName="/xl/worksheets/sheet1.xml" ContentType="application/vnd.openxmlformats-officedocument.spreadsheetml.worksheet+xml"/>
  <Override PartName="/xl/externalLinks/externalLink21.xml" ContentType="application/vnd.openxmlformats-officedocument.spreadsheetml.externalLink+xml"/>
  <Override PartName="/xl/externalLinks/externalLink50.xml" ContentType="application/vnd.openxmlformats-officedocument.spreadsheetml.externalLink+xml"/>
  <Override PartName="/xl/externalLinks/externalLink10.xml" ContentType="application/vnd.openxmlformats-officedocument.spreadsheetml.externalLink+xml"/>
  <Override PartName="/xl/externalLinks/externalLink99.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0730" windowHeight="11760" activeTab="6"/>
  </bookViews>
  <sheets>
    <sheet name="Summary" sheetId="8" r:id="rId1"/>
    <sheet name="BOQ-C&amp;I" sheetId="9" r:id="rId2"/>
    <sheet name="Detailed Estimate" sheetId="30" r:id="rId3"/>
    <sheet name="Lead Statement" sheetId="11" r:id="rId4"/>
    <sheet name="Data" sheetId="10" r:id="rId5"/>
    <sheet name="Labour" sheetId="12" r:id="rId6"/>
    <sheet name="Material" sheetId="13" r:id="rId7"/>
    <sheet name="Modular Furniture" sheetId="33" r:id="rId8"/>
    <sheet name="Loose Furniture and Chairs" sheetId="34" r:id="rId9"/>
    <sheet name="Detailed Estimate Furniture" sheetId="26" r:id="rId10"/>
    <sheet name="Comparison - Annexure 1" sheetId="36" r:id="rId11"/>
    <sheet name="Comparison - Annexure 02" sheetId="37" r:id="rId12"/>
    <sheet name="Comparison - Annexure 03" sheetId="23" r:id="rId13"/>
    <sheet name="Comparison - Annexure 04" sheetId="24" r:id="rId14"/>
    <sheet name="Comparison - Annexure 05" sheetId="29" r:id="rId15"/>
    <sheet name="Comparison - Annexure 06" sheetId="38" r:id="rId16"/>
    <sheet name="C&amp;I Makes" sheetId="20"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s>
  <definedNames>
    <definedName name="\0" localSheetId="16">#REF!</definedName>
    <definedName name="\0" localSheetId="11">#REF!</definedName>
    <definedName name="\0" localSheetId="12">#REF!</definedName>
    <definedName name="\0" localSheetId="13">#REF!</definedName>
    <definedName name="\0" localSheetId="14">#REF!</definedName>
    <definedName name="\0" localSheetId="15">#REF!</definedName>
    <definedName name="\0" localSheetId="10">#REF!</definedName>
    <definedName name="\0" localSheetId="2">#REF!</definedName>
    <definedName name="\0">#REF!</definedName>
    <definedName name="\a" localSheetId="16">#REF!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0">#REF!</definedName>
    <definedName name="\a">#REF!</definedName>
    <definedName name="\b" localSheetId="16">#REF!</definedName>
    <definedName name="\b">#REF!</definedName>
    <definedName name="\C" localSheetId="11">#REF!</definedName>
    <definedName name="\C" localSheetId="12">#REF!</definedName>
    <definedName name="\C" localSheetId="13">#REF!</definedName>
    <definedName name="\C" localSheetId="14">#REF!</definedName>
    <definedName name="\C" localSheetId="15">#REF!</definedName>
    <definedName name="\C" localSheetId="10">#REF!</definedName>
    <definedName name="\C" localSheetId="4">#REF!</definedName>
    <definedName name="\C">#REF!</definedName>
    <definedName name="\d">#REF!</definedName>
    <definedName name="\e">#REF!</definedName>
    <definedName name="\I">#REF!</definedName>
    <definedName name="\I2">#REF!</definedName>
    <definedName name="\l">#REF!</definedName>
    <definedName name="\m">#REF!</definedName>
    <definedName name="\n">#REF!</definedName>
    <definedName name="\p">#REF!</definedName>
    <definedName name="\q">#REF!</definedName>
    <definedName name="\r">#REF!</definedName>
    <definedName name="\s">#REF!</definedName>
    <definedName name="\x">#REF!</definedName>
    <definedName name="_">#REF!</definedName>
    <definedName name="_?271">#N/A</definedName>
    <definedName name="__?271">#N/A</definedName>
    <definedName name="__________________________________________________________________b111121" localSheetId="16">#REF!</definedName>
    <definedName name="__________________________________________________________________b111121" localSheetId="11">#REF!</definedName>
    <definedName name="__________________________________________________________________b111121" localSheetId="12">#REF!</definedName>
    <definedName name="__________________________________________________________________b111121" localSheetId="13">#REF!</definedName>
    <definedName name="__________________________________________________________________b111121" localSheetId="14">#REF!</definedName>
    <definedName name="__________________________________________________________________b111121" localSheetId="15">#REF!</definedName>
    <definedName name="__________________________________________________________________b111121" localSheetId="10">#REF!</definedName>
    <definedName name="__________________________________________________________________b111121" localSheetId="2">#REF!</definedName>
    <definedName name="__________________________________________________________________b111121">#REF!</definedName>
    <definedName name="__________________________________________________________________Ki1" localSheetId="16">#REF!</definedName>
    <definedName name="__________________________________________________________________Ki1">#REF!</definedName>
    <definedName name="__________________________________________________________________Ki2" localSheetId="16">#REF!</definedName>
    <definedName name="__________________________________________________________________Ki2">#REF!</definedName>
    <definedName name="__________________________________________________________________MAN1">#REF!</definedName>
    <definedName name="__________________________________________________________________PB1">#REF!</definedName>
    <definedName name="__________________________________________________________________TB2">#REF!</definedName>
    <definedName name="_________________________________________________________________b111121">#REF!</definedName>
    <definedName name="_________________________________________________________________Ki1">#REF!</definedName>
    <definedName name="_________________________________________________________________Ki2">#REF!</definedName>
    <definedName name="_________________________________________________________________MAN1">#REF!</definedName>
    <definedName name="_________________________________________________________________PB1">#REF!</definedName>
    <definedName name="_________________________________________________________________TB2">#REF!</definedName>
    <definedName name="________________________________________________________________b111121">#REF!</definedName>
    <definedName name="________________________________________________________________Ki1">#REF!</definedName>
    <definedName name="________________________________________________________________Ki2">#REF!</definedName>
    <definedName name="________________________________________________________________MAN1">#REF!</definedName>
    <definedName name="________________________________________________________________PB1">#REF!</definedName>
    <definedName name="________________________________________________________________TB2">#REF!</definedName>
    <definedName name="_______________________________________________________________b111121">#REF!</definedName>
    <definedName name="_______________________________________________________________Ki1">#REF!</definedName>
    <definedName name="_______________________________________________________________Ki2">#REF!</definedName>
    <definedName name="_______________________________________________________________MAN1">#REF!</definedName>
    <definedName name="_______________________________________________________________PB1">#REF!</definedName>
    <definedName name="_______________________________________________________________TB2">#REF!</definedName>
    <definedName name="______________________________________________________________b111121">#REF!</definedName>
    <definedName name="______________________________________________________________Ki1">#REF!</definedName>
    <definedName name="______________________________________________________________Ki2">#REF!</definedName>
    <definedName name="______________________________________________________________MAN1">#REF!</definedName>
    <definedName name="______________________________________________________________PB1">#REF!</definedName>
    <definedName name="______________________________________________________________TB2">#REF!</definedName>
    <definedName name="_____________________________________________________________b111121">#REF!</definedName>
    <definedName name="_____________________________________________________________Ki1">#REF!</definedName>
    <definedName name="_____________________________________________________________Ki2">#REF!</definedName>
    <definedName name="_____________________________________________________________MAN1">#REF!</definedName>
    <definedName name="_____________________________________________________________PB1">#REF!</definedName>
    <definedName name="_____________________________________________________________TB2">#REF!</definedName>
    <definedName name="____________________________________________________________b111121">#REF!</definedName>
    <definedName name="____________________________________________________________Ki1">#REF!</definedName>
    <definedName name="____________________________________________________________Ki2">#REF!</definedName>
    <definedName name="____________________________________________________________MAN1">#REF!</definedName>
    <definedName name="____________________________________________________________PB1">#REF!</definedName>
    <definedName name="____________________________________________________________TB2">#REF!</definedName>
    <definedName name="___________________________________________________________b111121">#REF!</definedName>
    <definedName name="___________________________________________________________Ki1">#REF!</definedName>
    <definedName name="___________________________________________________________Ki2">#REF!</definedName>
    <definedName name="___________________________________________________________MAN1">#REF!</definedName>
    <definedName name="___________________________________________________________PB1">#REF!</definedName>
    <definedName name="___________________________________________________________TB2">#REF!</definedName>
    <definedName name="__________________________________________________________b111121">#REF!</definedName>
    <definedName name="__________________________________________________________Ki1">#REF!</definedName>
    <definedName name="__________________________________________________________Ki2">#REF!</definedName>
    <definedName name="__________________________________________________________MAN1">#REF!</definedName>
    <definedName name="__________________________________________________________PB1">#REF!</definedName>
    <definedName name="__________________________________________________________TB2">#REF!</definedName>
    <definedName name="_________________________________________________________b111121">#REF!</definedName>
    <definedName name="_________________________________________________________Ki1">#REF!</definedName>
    <definedName name="_________________________________________________________Ki2">#REF!</definedName>
    <definedName name="_________________________________________________________MAN1">#REF!</definedName>
    <definedName name="_________________________________________________________PB1">#REF!</definedName>
    <definedName name="_________________________________________________________TB2">#REF!</definedName>
    <definedName name="________________________________________________________b111121">#REF!</definedName>
    <definedName name="________________________________________________________Ki1">#REF!</definedName>
    <definedName name="________________________________________________________Ki2">#REF!</definedName>
    <definedName name="________________________________________________________MAN1">#REF!</definedName>
    <definedName name="________________________________________________________PB1">#REF!</definedName>
    <definedName name="________________________________________________________TB2">#REF!</definedName>
    <definedName name="_______________________________________________________b111121">#REF!</definedName>
    <definedName name="_______________________________________________________Ki1">#REF!</definedName>
    <definedName name="_______________________________________________________Ki2">#REF!</definedName>
    <definedName name="_______________________________________________________MAN1">#REF!</definedName>
    <definedName name="_______________________________________________________PB1">#REF!</definedName>
    <definedName name="_______________________________________________________TB2">#REF!</definedName>
    <definedName name="______________________________________________________b111121">#REF!</definedName>
    <definedName name="______________________________________________________Ki1">#REF!</definedName>
    <definedName name="______________________________________________________Ki2">#REF!</definedName>
    <definedName name="______________________________________________________MAN1">#REF!</definedName>
    <definedName name="______________________________________________________PB1">#REF!</definedName>
    <definedName name="______________________________________________________TB2">#REF!</definedName>
    <definedName name="_____________________________________________________b111121">#REF!</definedName>
    <definedName name="_____________________________________________________Ki1">#REF!</definedName>
    <definedName name="_____________________________________________________Ki2">#REF!</definedName>
    <definedName name="_____________________________________________________MAN1">#REF!</definedName>
    <definedName name="_____________________________________________________PB1">#REF!</definedName>
    <definedName name="_____________________________________________________TB2">#REF!</definedName>
    <definedName name="____________________________________________________b111121">#REF!</definedName>
    <definedName name="____________________________________________________Ki1">#REF!</definedName>
    <definedName name="____________________________________________________Ki2">#REF!</definedName>
    <definedName name="____________________________________________________MAN1">#REF!</definedName>
    <definedName name="____________________________________________________PB1">#REF!</definedName>
    <definedName name="____________________________________________________TB2">#REF!</definedName>
    <definedName name="___________________________________________________b111121">#REF!</definedName>
    <definedName name="___________________________________________________Ki1">#REF!</definedName>
    <definedName name="___________________________________________________Ki2">#REF!</definedName>
    <definedName name="___________________________________________________MAN1">#REF!</definedName>
    <definedName name="___________________________________________________PB1">#REF!</definedName>
    <definedName name="___________________________________________________TB2">#REF!</definedName>
    <definedName name="__________________________________________________b111121">#REF!</definedName>
    <definedName name="__________________________________________________Ki1">#REF!</definedName>
    <definedName name="__________________________________________________Ki2">#REF!</definedName>
    <definedName name="__________________________________________________MAN1">#REF!</definedName>
    <definedName name="__________________________________________________PB1">#REF!</definedName>
    <definedName name="__________________________________________________TB2">#REF!</definedName>
    <definedName name="_________________________________________________b111121">#REF!</definedName>
    <definedName name="_________________________________________________Ki1">#REF!</definedName>
    <definedName name="_________________________________________________Ki2">#REF!</definedName>
    <definedName name="_________________________________________________MAN1">#REF!</definedName>
    <definedName name="_________________________________________________PB1">#REF!</definedName>
    <definedName name="_________________________________________________TB2">#REF!</definedName>
    <definedName name="________________________________________________b111121">#REF!</definedName>
    <definedName name="________________________________________________Ki1">#REF!</definedName>
    <definedName name="________________________________________________Ki2">#REF!</definedName>
    <definedName name="________________________________________________MAN1">#REF!</definedName>
    <definedName name="________________________________________________PB1">#REF!</definedName>
    <definedName name="________________________________________________TB2">#REF!</definedName>
    <definedName name="_______________________________________________b111121">#REF!</definedName>
    <definedName name="_______________________________________________Ki1">#REF!</definedName>
    <definedName name="_______________________________________________Ki2">#REF!</definedName>
    <definedName name="_______________________________________________MAN1">#REF!</definedName>
    <definedName name="_______________________________________________PB1">#REF!</definedName>
    <definedName name="_______________________________________________TB2">#REF!</definedName>
    <definedName name="______________________________________________b111121">#REF!</definedName>
    <definedName name="______________________________________________Ki1">#REF!</definedName>
    <definedName name="______________________________________________Ki2">#REF!</definedName>
    <definedName name="______________________________________________MAN1">#REF!</definedName>
    <definedName name="______________________________________________PB1">#REF!</definedName>
    <definedName name="______________________________________________TB2">#REF!</definedName>
    <definedName name="_____________________________________________b111121">#REF!</definedName>
    <definedName name="_____________________________________________Ki1">#REF!</definedName>
    <definedName name="_____________________________________________Ki2">#REF!</definedName>
    <definedName name="_____________________________________________MAN1">#REF!</definedName>
    <definedName name="_____________________________________________PB1">#REF!</definedName>
    <definedName name="_____________________________________________TB2">#REF!</definedName>
    <definedName name="____________________________________________b111121">#REF!</definedName>
    <definedName name="____________________________________________Ki1">#REF!</definedName>
    <definedName name="____________________________________________Ki2">#REF!</definedName>
    <definedName name="____________________________________________MAN1">#REF!</definedName>
    <definedName name="____________________________________________PB1">#REF!</definedName>
    <definedName name="____________________________________________TB2">#REF!</definedName>
    <definedName name="___________________________________________b111121">#REF!</definedName>
    <definedName name="___________________________________________Ki1">#REF!</definedName>
    <definedName name="___________________________________________Ki2">#REF!</definedName>
    <definedName name="___________________________________________MAN1">#REF!</definedName>
    <definedName name="___________________________________________PB1">#REF!</definedName>
    <definedName name="___________________________________________TB2">#REF!</definedName>
    <definedName name="__________________________________________b111121">#REF!</definedName>
    <definedName name="__________________________________________Ki1">#REF!</definedName>
    <definedName name="__________________________________________Ki2">#REF!</definedName>
    <definedName name="__________________________________________MAN1">#REF!</definedName>
    <definedName name="__________________________________________PB1">#REF!</definedName>
    <definedName name="__________________________________________TB2">#REF!</definedName>
    <definedName name="_________________________________________b111121">#REF!</definedName>
    <definedName name="_________________________________________Ki1">#REF!</definedName>
    <definedName name="_________________________________________Ki2">#REF!</definedName>
    <definedName name="_________________________________________MAN1">#REF!</definedName>
    <definedName name="_________________________________________PB1">#REF!</definedName>
    <definedName name="_________________________________________TB2">#REF!</definedName>
    <definedName name="________________________________________b111121">#REF!</definedName>
    <definedName name="________________________________________Ki1">#REF!</definedName>
    <definedName name="________________________________________Ki2">#REF!</definedName>
    <definedName name="________________________________________MAN1">#REF!</definedName>
    <definedName name="________________________________________PB1">#REF!</definedName>
    <definedName name="________________________________________TB2">#REF!</definedName>
    <definedName name="_______________________________________b111121">#REF!</definedName>
    <definedName name="_______________________________________Ki1">#REF!</definedName>
    <definedName name="_______________________________________Ki2">#REF!</definedName>
    <definedName name="_______________________________________MAN1">#REF!</definedName>
    <definedName name="_______________________________________PB1">#REF!</definedName>
    <definedName name="_______________________________________TB2">#REF!</definedName>
    <definedName name="______________________________________b111121">#REF!</definedName>
    <definedName name="______________________________________Ki1">#REF!</definedName>
    <definedName name="______________________________________Ki2">#REF!</definedName>
    <definedName name="______________________________________MAN1">#REF!</definedName>
    <definedName name="______________________________________PB1">#REF!</definedName>
    <definedName name="______________________________________TB2">#REF!</definedName>
    <definedName name="_____________________________________b111121">#REF!</definedName>
    <definedName name="_____________________________________Ki1">#REF!</definedName>
    <definedName name="_____________________________________Ki2">#REF!</definedName>
    <definedName name="_____________________________________MAN1">#REF!</definedName>
    <definedName name="_____________________________________PB1">#REF!</definedName>
    <definedName name="_____________________________________TB2">#REF!</definedName>
    <definedName name="____________________________________b111121">#REF!</definedName>
    <definedName name="____________________________________Ki1">#REF!</definedName>
    <definedName name="____________________________________Ki2">#REF!</definedName>
    <definedName name="____________________________________MAN1">#REF!</definedName>
    <definedName name="____________________________________PB1">#REF!</definedName>
    <definedName name="____________________________________TB2">#REF!</definedName>
    <definedName name="___________________________________b111121">#REF!</definedName>
    <definedName name="___________________________________Ki1">#REF!</definedName>
    <definedName name="___________________________________Ki2">#REF!</definedName>
    <definedName name="___________________________________MAN1">#REF!</definedName>
    <definedName name="___________________________________PB1">#REF!</definedName>
    <definedName name="___________________________________TB2">#REF!</definedName>
    <definedName name="__________________________________b111121">#REF!</definedName>
    <definedName name="__________________________________Ki1">#REF!</definedName>
    <definedName name="__________________________________Ki2">#REF!</definedName>
    <definedName name="__________________________________MAN1">#REF!</definedName>
    <definedName name="__________________________________PB1">#REF!</definedName>
    <definedName name="__________________________________TB2">#REF!</definedName>
    <definedName name="_________________________________b111121">#REF!</definedName>
    <definedName name="_________________________________Ki1">#REF!</definedName>
    <definedName name="_________________________________Ki2">#REF!</definedName>
    <definedName name="_________________________________MAN1">#REF!</definedName>
    <definedName name="_________________________________PB1">#REF!</definedName>
    <definedName name="_________________________________TB2">#REF!</definedName>
    <definedName name="________________________________b111121">#REF!</definedName>
    <definedName name="________________________________Ki1">#REF!</definedName>
    <definedName name="________________________________Ki2">#REF!</definedName>
    <definedName name="________________________________MAN1">#REF!</definedName>
    <definedName name="________________________________PB1">#REF!</definedName>
    <definedName name="________________________________TB2">#REF!</definedName>
    <definedName name="_______________________________b111121">#REF!</definedName>
    <definedName name="_______________________________Ki1">#REF!</definedName>
    <definedName name="_______________________________Ki2">#REF!</definedName>
    <definedName name="_______________________________MAN1">#REF!</definedName>
    <definedName name="_______________________________PB1">#REF!</definedName>
    <definedName name="_______________________________TB2">#REF!</definedName>
    <definedName name="______________________________b111121">#REF!</definedName>
    <definedName name="______________________________Ki1">#REF!</definedName>
    <definedName name="______________________________Ki2">#REF!</definedName>
    <definedName name="______________________________MAN1">#REF!</definedName>
    <definedName name="______________________________PB1">#REF!</definedName>
    <definedName name="______________________________TB2">#REF!</definedName>
    <definedName name="_____________________________b111121">#REF!</definedName>
    <definedName name="_____________________________Ki1">#REF!</definedName>
    <definedName name="_____________________________Ki2">#REF!</definedName>
    <definedName name="_____________________________MAN1">#REF!</definedName>
    <definedName name="_____________________________PB1">#REF!</definedName>
    <definedName name="_____________________________TB2">#REF!</definedName>
    <definedName name="____________________________b111121">#REF!</definedName>
    <definedName name="____________________________Ki1">#REF!</definedName>
    <definedName name="____________________________Ki2">#REF!</definedName>
    <definedName name="____________________________MAN1">#REF!</definedName>
    <definedName name="____________________________PB1">#REF!</definedName>
    <definedName name="____________________________TB2">#REF!</definedName>
    <definedName name="___________________________b111121">#REF!</definedName>
    <definedName name="___________________________Ki1">#REF!</definedName>
    <definedName name="___________________________Ki2">#REF!</definedName>
    <definedName name="___________________________MAN1">#REF!</definedName>
    <definedName name="___________________________PB1">#REF!</definedName>
    <definedName name="___________________________TB2">#REF!</definedName>
    <definedName name="__________________________b111121">#REF!</definedName>
    <definedName name="__________________________Ki1">#REF!</definedName>
    <definedName name="__________________________Ki2">#REF!</definedName>
    <definedName name="__________________________MAN1">#REF!</definedName>
    <definedName name="__________________________PB1">#REF!</definedName>
    <definedName name="__________________________TB2">#REF!</definedName>
    <definedName name="_________________________b111121">#REF!</definedName>
    <definedName name="_________________________Ki1">#REF!</definedName>
    <definedName name="_________________________Ki2">#REF!</definedName>
    <definedName name="_________________________MAN1">#REF!</definedName>
    <definedName name="_________________________PB1">#REF!</definedName>
    <definedName name="_________________________TB2">#REF!</definedName>
    <definedName name="________________________b111121">#REF!</definedName>
    <definedName name="________________________Ki1">#REF!</definedName>
    <definedName name="________________________Ki2">#REF!</definedName>
    <definedName name="________________________MAN1">#REF!</definedName>
    <definedName name="________________________PB1">#REF!</definedName>
    <definedName name="________________________TB2">#REF!</definedName>
    <definedName name="_______________________b111121">#REF!</definedName>
    <definedName name="_______________________Ki1">#REF!</definedName>
    <definedName name="_______________________Ki2">#REF!</definedName>
    <definedName name="_______________________MAN1">#REF!</definedName>
    <definedName name="_______________________PB1">#REF!</definedName>
    <definedName name="_______________________TB2">#REF!</definedName>
    <definedName name="______________________b111121">#REF!</definedName>
    <definedName name="______________________Ki1">#REF!</definedName>
    <definedName name="______________________Ki2">#REF!</definedName>
    <definedName name="______________________MAN1">#REF!</definedName>
    <definedName name="______________________PB1">#REF!</definedName>
    <definedName name="______________________TB2">#REF!</definedName>
    <definedName name="_____________________b111121">#REF!</definedName>
    <definedName name="_____________________Ki1">#REF!</definedName>
    <definedName name="_____________________Ki2">#REF!</definedName>
    <definedName name="_____________________MAN1">#REF!</definedName>
    <definedName name="_____________________PB1">#REF!</definedName>
    <definedName name="_____________________TB2">#REF!</definedName>
    <definedName name="____________________b111121">#REF!</definedName>
    <definedName name="____________________Ki1">#REF!</definedName>
    <definedName name="____________________Ki2">#REF!</definedName>
    <definedName name="____________________MAN1">#REF!</definedName>
    <definedName name="____________________PB1">#REF!</definedName>
    <definedName name="____________________TB2">#REF!</definedName>
    <definedName name="___________________b111121">#REF!</definedName>
    <definedName name="___________________Ki1">#REF!</definedName>
    <definedName name="___________________Ki2">#REF!</definedName>
    <definedName name="___________________MAN1">#REF!</definedName>
    <definedName name="___________________PB1">#REF!</definedName>
    <definedName name="___________________TB2">#REF!</definedName>
    <definedName name="__________________b111121">#REF!</definedName>
    <definedName name="__________________Ki1">#REF!</definedName>
    <definedName name="__________________Ki2">#REF!</definedName>
    <definedName name="__________________MAN1">#REF!</definedName>
    <definedName name="__________________PB1">#REF!</definedName>
    <definedName name="__________________TB2">#REF!</definedName>
    <definedName name="_________________b111121">#REF!</definedName>
    <definedName name="_________________Ki1">#REF!</definedName>
    <definedName name="_________________Ki2">#REF!</definedName>
    <definedName name="_________________MAN1">#REF!</definedName>
    <definedName name="_________________PB1">#REF!</definedName>
    <definedName name="_________________TB2">#REF!</definedName>
    <definedName name="________________b111121">#REF!</definedName>
    <definedName name="________________Ki1">#REF!</definedName>
    <definedName name="________________Ki2">#REF!</definedName>
    <definedName name="________________MAN1">#REF!</definedName>
    <definedName name="________________PB1">#REF!</definedName>
    <definedName name="________________TB2">#REF!</definedName>
    <definedName name="_______________b111121">#REF!</definedName>
    <definedName name="_______________Ki1">#REF!</definedName>
    <definedName name="_______________Ki2">#REF!</definedName>
    <definedName name="_______________MAN1">#REF!</definedName>
    <definedName name="_______________PB1">#REF!</definedName>
    <definedName name="_______________TB2">#REF!</definedName>
    <definedName name="______________am1">#REF!</definedName>
    <definedName name="______________b111121">#REF!</definedName>
    <definedName name="______________Ki1">#REF!</definedName>
    <definedName name="______________Ki2">#REF!</definedName>
    <definedName name="______________MAN1">#REF!</definedName>
    <definedName name="______________PB1">#REF!</definedName>
    <definedName name="______________TB2">#REF!</definedName>
    <definedName name="_____________am1">#REF!</definedName>
    <definedName name="_____________b111121">#REF!</definedName>
    <definedName name="_____________Ki1">#REF!</definedName>
    <definedName name="_____________Ki2">#REF!</definedName>
    <definedName name="_____________MAN1">#REF!</definedName>
    <definedName name="_____________PB1">#REF!</definedName>
    <definedName name="_____________TB2">#REF!</definedName>
    <definedName name="____________b111121">#REF!</definedName>
    <definedName name="____________Ki1">#REF!</definedName>
    <definedName name="____________Ki2">#REF!</definedName>
    <definedName name="____________MAN1">#REF!</definedName>
    <definedName name="____________PB1">#REF!</definedName>
    <definedName name="____________TB2">#REF!</definedName>
    <definedName name="___________am1">#REF!</definedName>
    <definedName name="___________b111121">#REF!</definedName>
    <definedName name="___________dim4">#REF!</definedName>
    <definedName name="___________Ki1">#REF!</definedName>
    <definedName name="___________Ki2">#REF!</definedName>
    <definedName name="___________MAN1">#REF!</definedName>
    <definedName name="___________PB1">#REF!</definedName>
    <definedName name="___________TB2">#REF!</definedName>
    <definedName name="__________b111121">#REF!</definedName>
    <definedName name="__________dim4">#REF!</definedName>
    <definedName name="__________Ki1">#REF!</definedName>
    <definedName name="__________Ki2">#REF!</definedName>
    <definedName name="__________MAN1">#REF!</definedName>
    <definedName name="__________PB1">#REF!</definedName>
    <definedName name="__________rm4">#REF!</definedName>
    <definedName name="__________TB2" localSheetId="16">#REF!</definedName>
    <definedName name="__________TB2">#REF!</definedName>
    <definedName name="_________aaa5">#REF!</definedName>
    <definedName name="_________am1">#REF!</definedName>
    <definedName name="_________b111121" localSheetId="16">#REF!</definedName>
    <definedName name="_________b111121">#REF!</definedName>
    <definedName name="_________dim4" localSheetId="16">#REF!</definedName>
    <definedName name="_________dim4">#REF!</definedName>
    <definedName name="_________dim4_1">#REF!</definedName>
    <definedName name="_________dim4_16">#REF!</definedName>
    <definedName name="_________dim4_16_1">#REF!</definedName>
    <definedName name="_________dim4_17">#REF!</definedName>
    <definedName name="_________dim4_17_1">#REF!</definedName>
    <definedName name="_________Ki1">#REF!</definedName>
    <definedName name="_________Ki2">#REF!</definedName>
    <definedName name="_________mac2">200</definedName>
    <definedName name="_________MAN1" localSheetId="16">#REF!</definedName>
    <definedName name="_________MAN1" localSheetId="11">#REF!</definedName>
    <definedName name="_________MAN1" localSheetId="12">#REF!</definedName>
    <definedName name="_________MAN1" localSheetId="13">#REF!</definedName>
    <definedName name="_________MAN1" localSheetId="14">#REF!</definedName>
    <definedName name="_________MAN1" localSheetId="15">#REF!</definedName>
    <definedName name="_________MAN1" localSheetId="10">#REF!</definedName>
    <definedName name="_________MAN1" localSheetId="2">#REF!</definedName>
    <definedName name="_________MAN1">#REF!</definedName>
    <definedName name="_________mix10">4.5</definedName>
    <definedName name="_________mix15">264/50</definedName>
    <definedName name="_________mix20">330/50</definedName>
    <definedName name="_________mix30">352/50</definedName>
    <definedName name="_________mix40">396/50</definedName>
    <definedName name="_________PB1" localSheetId="16">#REF!</definedName>
    <definedName name="_________PB1" localSheetId="11">#REF!</definedName>
    <definedName name="_________PB1" localSheetId="12">#REF!</definedName>
    <definedName name="_________PB1" localSheetId="13">#REF!</definedName>
    <definedName name="_________PB1" localSheetId="14">#REF!</definedName>
    <definedName name="_________PB1" localSheetId="15">#REF!</definedName>
    <definedName name="_________PB1" localSheetId="10">#REF!</definedName>
    <definedName name="_________PB1" localSheetId="2">#REF!</definedName>
    <definedName name="_________PB1">#REF!</definedName>
    <definedName name="_________rm4" localSheetId="2">#REF!</definedName>
    <definedName name="_________rm4">#REF!</definedName>
    <definedName name="_________rm4_1">#REF!</definedName>
    <definedName name="_________rm4_16">#REF!</definedName>
    <definedName name="_________rm4_16_1">#REF!</definedName>
    <definedName name="_________rm4_17">#REF!</definedName>
    <definedName name="_________rm4_17_1">#REF!</definedName>
    <definedName name="_________sh1">90</definedName>
    <definedName name="_________sh2">120</definedName>
    <definedName name="_________sh3">150</definedName>
    <definedName name="_________sh4">180</definedName>
    <definedName name="_________TB2" localSheetId="16">#REF!</definedName>
    <definedName name="_________TB2" localSheetId="11">#REF!</definedName>
    <definedName name="_________TB2" localSheetId="12">#REF!</definedName>
    <definedName name="_________TB2" localSheetId="13">#REF!</definedName>
    <definedName name="_________TB2" localSheetId="14">#REF!</definedName>
    <definedName name="_________TB2" localSheetId="15">#REF!</definedName>
    <definedName name="_________TB2" localSheetId="10">#REF!</definedName>
    <definedName name="_________TB2" localSheetId="2">#REF!</definedName>
    <definedName name="_________TB2">#REF!</definedName>
    <definedName name="________aaa5" localSheetId="2">#REF!</definedName>
    <definedName name="________aaa5">#REF!</definedName>
    <definedName name="________b111121" localSheetId="16">#REF!</definedName>
    <definedName name="________b111121">#REF!</definedName>
    <definedName name="________dim4" localSheetId="16">#REF!</definedName>
    <definedName name="________dim4">#REF!</definedName>
    <definedName name="________dim4_1">#REF!</definedName>
    <definedName name="________dim4_16">#REF!</definedName>
    <definedName name="________dim4_16_1">#REF!</definedName>
    <definedName name="________dim4_17">#REF!</definedName>
    <definedName name="________dim4_17_1">#REF!</definedName>
    <definedName name="________Ki1">#REF!</definedName>
    <definedName name="________Ki2">#REF!</definedName>
    <definedName name="________mac2">200</definedName>
    <definedName name="________MAN1" localSheetId="16">#REF!</definedName>
    <definedName name="________MAN1" localSheetId="11">#REF!</definedName>
    <definedName name="________MAN1" localSheetId="12">#REF!</definedName>
    <definedName name="________MAN1" localSheetId="13">#REF!</definedName>
    <definedName name="________MAN1" localSheetId="14">#REF!</definedName>
    <definedName name="________MAN1" localSheetId="15">#REF!</definedName>
    <definedName name="________MAN1" localSheetId="10">#REF!</definedName>
    <definedName name="________MAN1" localSheetId="2">#REF!</definedName>
    <definedName name="________MAN1">#REF!</definedName>
    <definedName name="________mix10">4.5</definedName>
    <definedName name="________mix15">264/50</definedName>
    <definedName name="________mix20">330/50</definedName>
    <definedName name="________mix30">352/50</definedName>
    <definedName name="________mix40">396/50</definedName>
    <definedName name="________PB1" localSheetId="16">#REF!</definedName>
    <definedName name="________PB1" localSheetId="11">#REF!</definedName>
    <definedName name="________PB1" localSheetId="12">#REF!</definedName>
    <definedName name="________PB1" localSheetId="13">#REF!</definedName>
    <definedName name="________PB1" localSheetId="14">#REF!</definedName>
    <definedName name="________PB1" localSheetId="15">#REF!</definedName>
    <definedName name="________PB1" localSheetId="10">#REF!</definedName>
    <definedName name="________PB1" localSheetId="2">#REF!</definedName>
    <definedName name="________PB1">#REF!</definedName>
    <definedName name="________rim4" localSheetId="2">#REF!</definedName>
    <definedName name="________rim4">#REF!</definedName>
    <definedName name="________rm4" localSheetId="16">#REF!</definedName>
    <definedName name="________rm4">#REF!</definedName>
    <definedName name="________rm4_1">#REF!</definedName>
    <definedName name="________rm4_16">#REF!</definedName>
    <definedName name="________rm4_16_1">#REF!</definedName>
    <definedName name="________rm4_17">#REF!</definedName>
    <definedName name="________rm4_17_1">#REF!</definedName>
    <definedName name="________sh1">90</definedName>
    <definedName name="________sh2">120</definedName>
    <definedName name="________sh3">150</definedName>
    <definedName name="________sh4">180</definedName>
    <definedName name="________TB2" localSheetId="16">#REF!</definedName>
    <definedName name="________TB2" localSheetId="11">#REF!</definedName>
    <definedName name="________TB2" localSheetId="12">#REF!</definedName>
    <definedName name="________TB2" localSheetId="13">#REF!</definedName>
    <definedName name="________TB2" localSheetId="14">#REF!</definedName>
    <definedName name="________TB2" localSheetId="15">#REF!</definedName>
    <definedName name="________TB2" localSheetId="10">#REF!</definedName>
    <definedName name="________TB2" localSheetId="2">#REF!</definedName>
    <definedName name="________TB2">#REF!</definedName>
    <definedName name="_______aaa5" localSheetId="2">#REF!</definedName>
    <definedName name="_______aaa5">#REF!</definedName>
    <definedName name="_______am1">#REF!</definedName>
    <definedName name="_______b111121" localSheetId="16">#REF!</definedName>
    <definedName name="_______b111121">#REF!</definedName>
    <definedName name="_______dim4" localSheetId="16">#REF!</definedName>
    <definedName name="_______dim4">#REF!</definedName>
    <definedName name="_______dim4_1">#REF!</definedName>
    <definedName name="_______dim4_16">#REF!</definedName>
    <definedName name="_______dim4_16_1">#REF!</definedName>
    <definedName name="_______dim4_17">#REF!</definedName>
    <definedName name="_______dim4_17_1">#REF!</definedName>
    <definedName name="_______Ki1">#REF!</definedName>
    <definedName name="_______Ki2">#REF!</definedName>
    <definedName name="_______mac2">200</definedName>
    <definedName name="_______MAN1" localSheetId="16">#REF!</definedName>
    <definedName name="_______MAN1" localSheetId="11">#REF!</definedName>
    <definedName name="_______MAN1" localSheetId="12">#REF!</definedName>
    <definedName name="_______MAN1" localSheetId="13">#REF!</definedName>
    <definedName name="_______MAN1" localSheetId="14">#REF!</definedName>
    <definedName name="_______MAN1" localSheetId="15">#REF!</definedName>
    <definedName name="_______MAN1" localSheetId="10">#REF!</definedName>
    <definedName name="_______MAN1" localSheetId="2">#REF!</definedName>
    <definedName name="_______MAN1">#REF!</definedName>
    <definedName name="_______mix10">4.5</definedName>
    <definedName name="_______mix15">264/50</definedName>
    <definedName name="_______mix20">330/50</definedName>
    <definedName name="_______mix30">352/50</definedName>
    <definedName name="_______mix40">396/50</definedName>
    <definedName name="_______PB1" localSheetId="16">#REF!</definedName>
    <definedName name="_______PB1" localSheetId="11">#REF!</definedName>
    <definedName name="_______PB1" localSheetId="12">#REF!</definedName>
    <definedName name="_______PB1" localSheetId="13">#REF!</definedName>
    <definedName name="_______PB1" localSheetId="14">#REF!</definedName>
    <definedName name="_______PB1" localSheetId="15">#REF!</definedName>
    <definedName name="_______PB1" localSheetId="10">#REF!</definedName>
    <definedName name="_______PB1" localSheetId="2">#REF!</definedName>
    <definedName name="_______PB1">#REF!</definedName>
    <definedName name="_______rim4" localSheetId="2">#REF!</definedName>
    <definedName name="_______rim4">#REF!</definedName>
    <definedName name="_______rm4" localSheetId="16">#REF!</definedName>
    <definedName name="_______rm4">#REF!</definedName>
    <definedName name="_______rm4_1">#REF!</definedName>
    <definedName name="_______rm4_16">#REF!</definedName>
    <definedName name="_______rm4_16_1">#REF!</definedName>
    <definedName name="_______rm4_17">#REF!</definedName>
    <definedName name="_______rm4_17_1">#REF!</definedName>
    <definedName name="_______sh1">90</definedName>
    <definedName name="_______sh2">120</definedName>
    <definedName name="_______sh3">150</definedName>
    <definedName name="_______sh4">180</definedName>
    <definedName name="_______TB2" localSheetId="16">#REF!</definedName>
    <definedName name="_______TB2" localSheetId="11">#REF!</definedName>
    <definedName name="_______TB2" localSheetId="12">#REF!</definedName>
    <definedName name="_______TB2" localSheetId="13">#REF!</definedName>
    <definedName name="_______TB2" localSheetId="14">#REF!</definedName>
    <definedName name="_______TB2" localSheetId="15">#REF!</definedName>
    <definedName name="_______TB2" localSheetId="10">#REF!</definedName>
    <definedName name="_______TB2" localSheetId="2">#REF!</definedName>
    <definedName name="_______TB2">#REF!</definedName>
    <definedName name="______A31" localSheetId="2">#REF!</definedName>
    <definedName name="______A31">#REF!</definedName>
    <definedName name="______aaa5">#REF!</definedName>
    <definedName name="______am1">#REF!</definedName>
    <definedName name="______b111121" localSheetId="16">#REF!</definedName>
    <definedName name="______b111121">#REF!</definedName>
    <definedName name="______cem124">[1]Analysis!$D$434</definedName>
    <definedName name="______dim4" localSheetId="16">#REF!</definedName>
    <definedName name="______dim4">#REF!</definedName>
    <definedName name="______dim4_1" localSheetId="16">#REF!</definedName>
    <definedName name="______dim4_1">#REF!</definedName>
    <definedName name="______dim4_16" localSheetId="16">#REF!</definedName>
    <definedName name="______dim4_16">#REF!</definedName>
    <definedName name="______dim4_16_1">#REF!</definedName>
    <definedName name="______dim4_17">#REF!</definedName>
    <definedName name="______dim4_17_1">#REF!</definedName>
    <definedName name="______flx200">#REF!</definedName>
    <definedName name="______flx250">#REF!</definedName>
    <definedName name="______flx300">#REF!</definedName>
    <definedName name="______KC139">#REF!</definedName>
    <definedName name="______Ki1">#REF!</definedName>
    <definedName name="______Ki2">#REF!</definedName>
    <definedName name="______mac2">200</definedName>
    <definedName name="______MAN1" localSheetId="16">#REF!</definedName>
    <definedName name="______MAN1" localSheetId="11">#REF!</definedName>
    <definedName name="______MAN1" localSheetId="12">#REF!</definedName>
    <definedName name="______MAN1" localSheetId="13">#REF!</definedName>
    <definedName name="______MAN1" localSheetId="14">#REF!</definedName>
    <definedName name="______MAN1" localSheetId="15">#REF!</definedName>
    <definedName name="______MAN1" localSheetId="10">#REF!</definedName>
    <definedName name="______MAN1" localSheetId="2">#REF!</definedName>
    <definedName name="______MAN1">#REF!</definedName>
    <definedName name="______mix10">4.5</definedName>
    <definedName name="______mix15">264/50</definedName>
    <definedName name="______mix20">330/50</definedName>
    <definedName name="______mix30">352/50</definedName>
    <definedName name="______mix40">396/50</definedName>
    <definedName name="______PB1" localSheetId="16">#REF!</definedName>
    <definedName name="______PB1" localSheetId="11">#REF!</definedName>
    <definedName name="______PB1" localSheetId="12">#REF!</definedName>
    <definedName name="______PB1" localSheetId="13">#REF!</definedName>
    <definedName name="______PB1" localSheetId="14">#REF!</definedName>
    <definedName name="______PB1" localSheetId="15">#REF!</definedName>
    <definedName name="______PB1" localSheetId="10">#REF!</definedName>
    <definedName name="______PB1" localSheetId="2">#REF!</definedName>
    <definedName name="______PB1">#REF!</definedName>
    <definedName name="______rim4" localSheetId="2">#REF!</definedName>
    <definedName name="______rim4">#REF!</definedName>
    <definedName name="______rm4" localSheetId="16">#REF!</definedName>
    <definedName name="______rm4">#REF!</definedName>
    <definedName name="______rm4_1">#REF!</definedName>
    <definedName name="______rm4_16">#REF!</definedName>
    <definedName name="______rm4_16_1">#REF!</definedName>
    <definedName name="______rm4_17">#REF!</definedName>
    <definedName name="______rm4_17_1">#REF!</definedName>
    <definedName name="______sh1">90</definedName>
    <definedName name="______sh2">120</definedName>
    <definedName name="______sh3">150</definedName>
    <definedName name="______sh4">180</definedName>
    <definedName name="______SH5">#REF!</definedName>
    <definedName name="______TB2" localSheetId="16">#REF!</definedName>
    <definedName name="______TB2" localSheetId="11">#REF!</definedName>
    <definedName name="______TB2" localSheetId="12">#REF!</definedName>
    <definedName name="______TB2" localSheetId="13">#REF!</definedName>
    <definedName name="______TB2" localSheetId="14">#REF!</definedName>
    <definedName name="______TB2" localSheetId="15">#REF!</definedName>
    <definedName name="______TB2" localSheetId="10">#REF!</definedName>
    <definedName name="______TB2" localSheetId="2">#REF!</definedName>
    <definedName name="______TB2">#REF!</definedName>
    <definedName name="_____a1" localSheetId="16">'[1]Bill No 2 to 8 (Rev)'!#REF!</definedName>
    <definedName name="_____a1" localSheetId="2">#REF!</definedName>
    <definedName name="_____a1">#REF!</definedName>
    <definedName name="_____AA1">#REF!</definedName>
    <definedName name="_____aaa5">#REF!</definedName>
    <definedName name="_____am1">#REF!</definedName>
    <definedName name="_____b111121" localSheetId="16">#REF!</definedName>
    <definedName name="_____b111121">#REF!</definedName>
    <definedName name="_____bol1">#REF!</definedName>
    <definedName name="_____dim4" localSheetId="16">#REF!</definedName>
    <definedName name="_____dim4">#REF!</definedName>
    <definedName name="_____dim4_1" localSheetId="16">#REF!</definedName>
    <definedName name="_____dim4_1">#REF!</definedName>
    <definedName name="_____dim4_16">#REF!</definedName>
    <definedName name="_____dim4_16_1">#REF!</definedName>
    <definedName name="_____dim4_17">#REF!</definedName>
    <definedName name="_____dim4_17_1">#REF!</definedName>
    <definedName name="_____HDD1">#REF!</definedName>
    <definedName name="_____ig541">#REF!</definedName>
    <definedName name="_____KC139">#REF!</definedName>
    <definedName name="_____Ki1">#REF!</definedName>
    <definedName name="_____Ki2">#REF!</definedName>
    <definedName name="_____mac2">200</definedName>
    <definedName name="_____MAN1" localSheetId="16">#REF!</definedName>
    <definedName name="_____MAN1" localSheetId="11">#REF!</definedName>
    <definedName name="_____MAN1" localSheetId="12">#REF!</definedName>
    <definedName name="_____MAN1" localSheetId="13">#REF!</definedName>
    <definedName name="_____MAN1" localSheetId="14">#REF!</definedName>
    <definedName name="_____MAN1" localSheetId="15">#REF!</definedName>
    <definedName name="_____MAN1" localSheetId="10">#REF!</definedName>
    <definedName name="_____MAN1" localSheetId="2">#REF!</definedName>
    <definedName name="_____MAN1">#REF!</definedName>
    <definedName name="_____mix10">4.5</definedName>
    <definedName name="_____mix15">264/50</definedName>
    <definedName name="_____mix20">330/50</definedName>
    <definedName name="_____mix30">352/50</definedName>
    <definedName name="_____mix40">396/50</definedName>
    <definedName name="_____PB1" localSheetId="16">#REF!</definedName>
    <definedName name="_____PB1" localSheetId="11">#REF!</definedName>
    <definedName name="_____PB1" localSheetId="12">#REF!</definedName>
    <definedName name="_____PB1" localSheetId="13">#REF!</definedName>
    <definedName name="_____PB1" localSheetId="14">#REF!</definedName>
    <definedName name="_____PB1" localSheetId="15">#REF!</definedName>
    <definedName name="_____PB1" localSheetId="10">#REF!</definedName>
    <definedName name="_____PB1" localSheetId="2">#REF!</definedName>
    <definedName name="_____PB1">#REF!</definedName>
    <definedName name="_____PKT1">#N/A</definedName>
    <definedName name="_____PKT2">#N/A</definedName>
    <definedName name="_____rim4" localSheetId="2">#REF!</definedName>
    <definedName name="_____rim4">#REF!</definedName>
    <definedName name="_____rm4" localSheetId="16">#REF!</definedName>
    <definedName name="_____rm4">#REF!</definedName>
    <definedName name="_____rm4_1">#REF!</definedName>
    <definedName name="_____rm4_16">#REF!</definedName>
    <definedName name="_____rm4_16_1">#REF!</definedName>
    <definedName name="_____rm4_17">#REF!</definedName>
    <definedName name="_____rm4_17_1">#REF!</definedName>
    <definedName name="_____S12">'[2]p&amp;m'!#REF!</definedName>
    <definedName name="_____sh1">90</definedName>
    <definedName name="_____sh2">120</definedName>
    <definedName name="_____sh3">150</definedName>
    <definedName name="_____sh4">180</definedName>
    <definedName name="_____TB2" localSheetId="16">#REF!</definedName>
    <definedName name="_____TB2" localSheetId="11">#REF!</definedName>
    <definedName name="_____TB2" localSheetId="12">#REF!</definedName>
    <definedName name="_____TB2" localSheetId="13">#REF!</definedName>
    <definedName name="_____TB2" localSheetId="14">#REF!</definedName>
    <definedName name="_____TB2" localSheetId="15">#REF!</definedName>
    <definedName name="_____TB2" localSheetId="10">#REF!</definedName>
    <definedName name="_____TB2" localSheetId="2">#REF!</definedName>
    <definedName name="_____TB2">#REF!</definedName>
    <definedName name="_____xlnm.Print_Area" localSheetId="16">#REF!</definedName>
    <definedName name="_____xlnm.Print_Area">#REF!</definedName>
    <definedName name="_____xlnm.Print_Titles" localSheetId="16">#REF!</definedName>
    <definedName name="_____xlnm.Print_Titles">#REF!</definedName>
    <definedName name="____a1">#REF!</definedName>
    <definedName name="____A31">#REF!</definedName>
    <definedName name="____AA1">#REF!</definedName>
    <definedName name="____aaa5">#REF!</definedName>
    <definedName name="____am1">#REF!</definedName>
    <definedName name="____b111121">#REF!</definedName>
    <definedName name="____bol1">#REF!</definedName>
    <definedName name="____CAN113">12.98</definedName>
    <definedName name="____CAN117">12.7</definedName>
    <definedName name="____CAN118">13.27</definedName>
    <definedName name="____CAN210">10.38</definedName>
    <definedName name="____CAN211">10.58</definedName>
    <definedName name="____CAN213">10.56</definedName>
    <definedName name="____CAN215">10.22</definedName>
    <definedName name="____CAN216">9.61</definedName>
    <definedName name="____CAN217">10.47</definedName>
    <definedName name="____CAN219">10.91</definedName>
    <definedName name="____CAN220">11.09</definedName>
    <definedName name="____CAN221">11.25</definedName>
    <definedName name="____CAN222">10.17</definedName>
    <definedName name="____CAN223">9.89</definedName>
    <definedName name="____CAN230">10.79</definedName>
    <definedName name="____can421">40.2</definedName>
    <definedName name="____can422">41.57</definedName>
    <definedName name="____can423">43.9</definedName>
    <definedName name="____can424">41.19</definedName>
    <definedName name="____can425">42.81</definedName>
    <definedName name="____can426">40.77</definedName>
    <definedName name="____can427">40.92</definedName>
    <definedName name="____can428">39.29</definedName>
    <definedName name="____can429">45.19</definedName>
    <definedName name="____can430">40.73</definedName>
    <definedName name="____can431">42.52</definedName>
    <definedName name="____can433">43.69</definedName>
    <definedName name="____can434">40.43</definedName>
    <definedName name="____can435">43.3</definedName>
    <definedName name="____cem124">[1]Analysis!$D$434</definedName>
    <definedName name="____dim4" localSheetId="16">#REF!</definedName>
    <definedName name="____dim4">#REF!</definedName>
    <definedName name="____dim4_1" localSheetId="16">#REF!</definedName>
    <definedName name="____dim4_1">#REF!</definedName>
    <definedName name="____dim4_16" localSheetId="16">#REF!</definedName>
    <definedName name="____dim4_16">#REF!</definedName>
    <definedName name="____dim4_16_1">#REF!</definedName>
    <definedName name="____dim4_17">#REF!</definedName>
    <definedName name="____dim4_17_1">#REF!</definedName>
    <definedName name="____HDD1">#REF!</definedName>
    <definedName name="____ig541">#REF!</definedName>
    <definedName name="____iv66666">#REF!</definedName>
    <definedName name="____JCL1">#N/A</definedName>
    <definedName name="____KC139">#REF!</definedName>
    <definedName name="____KC580">#REF!</definedName>
    <definedName name="____Ki1" localSheetId="16">#REF!</definedName>
    <definedName name="____Ki1">#REF!</definedName>
    <definedName name="____Ki2">#REF!</definedName>
    <definedName name="____mac2">200</definedName>
    <definedName name="____MAN1" localSheetId="16">#REF!</definedName>
    <definedName name="____MAN1" localSheetId="11">#REF!</definedName>
    <definedName name="____MAN1" localSheetId="12">#REF!</definedName>
    <definedName name="____MAN1" localSheetId="13">#REF!</definedName>
    <definedName name="____MAN1" localSheetId="14">#REF!</definedName>
    <definedName name="____MAN1" localSheetId="15">#REF!</definedName>
    <definedName name="____MAN1" localSheetId="10">#REF!</definedName>
    <definedName name="____MAN1" localSheetId="2">#REF!</definedName>
    <definedName name="____MAN1">#REF!</definedName>
    <definedName name="____mix10">4.5</definedName>
    <definedName name="____mix15">264/50</definedName>
    <definedName name="____mix20">330/50</definedName>
    <definedName name="____mix30">352/50</definedName>
    <definedName name="____mix40">396/50</definedName>
    <definedName name="____PB1" localSheetId="16">#REF!</definedName>
    <definedName name="____PB1" localSheetId="11">#REF!</definedName>
    <definedName name="____PB1" localSheetId="12">#REF!</definedName>
    <definedName name="____PB1" localSheetId="13">#REF!</definedName>
    <definedName name="____PB1" localSheetId="14">#REF!</definedName>
    <definedName name="____PB1" localSheetId="15">#REF!</definedName>
    <definedName name="____PB1" localSheetId="10">#REF!</definedName>
    <definedName name="____PB1" localSheetId="2">#REF!</definedName>
    <definedName name="____PB1">#REF!</definedName>
    <definedName name="____PKT2">#N/A</definedName>
    <definedName name="____pqr1" localSheetId="2">#REF!</definedName>
    <definedName name="____pqr1">#REF!</definedName>
    <definedName name="____pqr2">#REF!</definedName>
    <definedName name="____QR04">#REF!</definedName>
    <definedName name="____RA4">#REF!</definedName>
    <definedName name="____rim4">#REF!</definedName>
    <definedName name="____rm4">#REF!</definedName>
    <definedName name="____rm4_1">#REF!</definedName>
    <definedName name="____rm4_16">#REF!</definedName>
    <definedName name="____rm4_16_1">#REF!</definedName>
    <definedName name="____rm4_17">#REF!</definedName>
    <definedName name="____rm4_17_1">#REF!</definedName>
    <definedName name="____S12">'[2]p&amp;m'!#REF!</definedName>
    <definedName name="____sh1">90</definedName>
    <definedName name="____sh2">120</definedName>
    <definedName name="____sh3">150</definedName>
    <definedName name="____sh4">180</definedName>
    <definedName name="____TB2" localSheetId="16">#REF!</definedName>
    <definedName name="____TB2" localSheetId="11">#REF!</definedName>
    <definedName name="____TB2" localSheetId="12">#REF!</definedName>
    <definedName name="____TB2" localSheetId="13">#REF!</definedName>
    <definedName name="____TB2" localSheetId="14">#REF!</definedName>
    <definedName name="____TB2" localSheetId="15">#REF!</definedName>
    <definedName name="____TB2" localSheetId="10">#REF!</definedName>
    <definedName name="____TB2" localSheetId="2">#REF!</definedName>
    <definedName name="____TB2">#REF!</definedName>
    <definedName name="____tek2" localSheetId="16">#REF!</definedName>
    <definedName name="____tek2">#REF!</definedName>
    <definedName name="___a1" localSheetId="16">#REF!</definedName>
    <definedName name="___a1">#REF!</definedName>
    <definedName name="___A31">#REF!</definedName>
    <definedName name="___AA1">#REF!</definedName>
    <definedName name="___aaa5">#REF!</definedName>
    <definedName name="___aku100">#REF!</definedName>
    <definedName name="___am1">#REF!</definedName>
    <definedName name="___AMT2">'[3]NET Sum'!$J$57</definedName>
    <definedName name="___b111121" localSheetId="16">#REF!</definedName>
    <definedName name="___b111121" localSheetId="11">#REF!</definedName>
    <definedName name="___b111121" localSheetId="12">#REF!</definedName>
    <definedName name="___b111121" localSheetId="13">#REF!</definedName>
    <definedName name="___b111121" localSheetId="14">#REF!</definedName>
    <definedName name="___b111121" localSheetId="15">#REF!</definedName>
    <definedName name="___b111121" localSheetId="10">#REF!</definedName>
    <definedName name="___b111121" localSheetId="2">#REF!</definedName>
    <definedName name="___b111121">#REF!</definedName>
    <definedName name="___bol1" localSheetId="16">#REF!</definedName>
    <definedName name="___bol1">#REF!</definedName>
    <definedName name="___CAN112">13.42</definedName>
    <definedName name="___CAN113">12.98</definedName>
    <definedName name="___CAN117">12.7</definedName>
    <definedName name="___CAN118">13.27</definedName>
    <definedName name="___CAN120">11.72</definedName>
    <definedName name="___CAN210">10.38</definedName>
    <definedName name="___CAN211">10.58</definedName>
    <definedName name="___CAN213">10.56</definedName>
    <definedName name="___CAN215">10.22</definedName>
    <definedName name="___CAN216">9.61</definedName>
    <definedName name="___CAN217">10.47</definedName>
    <definedName name="___CAN219">10.91</definedName>
    <definedName name="___CAN220">11.09</definedName>
    <definedName name="___CAN221">11.25</definedName>
    <definedName name="___CAN222">10.17</definedName>
    <definedName name="___CAN223">9.89</definedName>
    <definedName name="___CAN230">10.79</definedName>
    <definedName name="___can421">40.2</definedName>
    <definedName name="___can422">41.57</definedName>
    <definedName name="___can423">43.9</definedName>
    <definedName name="___can424">41.19</definedName>
    <definedName name="___can425">42.81</definedName>
    <definedName name="___can426">40.77</definedName>
    <definedName name="___can427">40.92</definedName>
    <definedName name="___can428">39.29</definedName>
    <definedName name="___can429">45.19</definedName>
    <definedName name="___can430">40.73</definedName>
    <definedName name="___can431">42.52</definedName>
    <definedName name="___can432">42.53</definedName>
    <definedName name="___can433">43.69</definedName>
    <definedName name="___can434">40.43</definedName>
    <definedName name="___can435">43.3</definedName>
    <definedName name="___cem124">[1]Analysis!$D$434</definedName>
    <definedName name="___dim4" localSheetId="16">#REF!</definedName>
    <definedName name="___dim4">#REF!</definedName>
    <definedName name="___dim4_1" localSheetId="16">#REF!</definedName>
    <definedName name="___dim4_1">#REF!</definedName>
    <definedName name="___dim4_16" localSheetId="16">#REF!</definedName>
    <definedName name="___dim4_16">#REF!</definedName>
    <definedName name="___dim4_16_1">#REF!</definedName>
    <definedName name="___dim4_17">#REF!</definedName>
    <definedName name="___dim4_17_1">#REF!</definedName>
    <definedName name="___flx200">#REF!</definedName>
    <definedName name="___flx250">#REF!</definedName>
    <definedName name="___flx300">#REF!</definedName>
    <definedName name="___HDD1">#REF!</definedName>
    <definedName name="___HDD1111">#REF!</definedName>
    <definedName name="___ig541">#REF!</definedName>
    <definedName name="___iv66666">#REF!</definedName>
    <definedName name="___JCR23">#REF!</definedName>
    <definedName name="___KC139">#REF!</definedName>
    <definedName name="___KC580">#REF!</definedName>
    <definedName name="___Ki1">#REF!</definedName>
    <definedName name="___Ki2">#REF!</definedName>
    <definedName name="___lef1">'[3]precast RC element'!#REF!</definedName>
    <definedName name="___lef2">'[3]precast RC element'!#REF!</definedName>
    <definedName name="___lel1">'[3]precast RC element'!#REF!</definedName>
    <definedName name="___lel2">'[3]precast RC element'!#REF!</definedName>
    <definedName name="___mac2">200</definedName>
    <definedName name="___MAN1" localSheetId="16">#REF!</definedName>
    <definedName name="___MAN1" localSheetId="11">#REF!</definedName>
    <definedName name="___MAN1" localSheetId="12">#REF!</definedName>
    <definedName name="___MAN1" localSheetId="13">#REF!</definedName>
    <definedName name="___MAN1" localSheetId="14">#REF!</definedName>
    <definedName name="___MAN1" localSheetId="15">#REF!</definedName>
    <definedName name="___MAN1" localSheetId="10">#REF!</definedName>
    <definedName name="___MAN1" localSheetId="2">#REF!</definedName>
    <definedName name="___MAN1">#REF!</definedName>
    <definedName name="___mix10">4.5</definedName>
    <definedName name="___mix15">264/50</definedName>
    <definedName name="___mix20">330/50</definedName>
    <definedName name="___mix30">352/50</definedName>
    <definedName name="___mix40">396/50</definedName>
    <definedName name="___PB1" localSheetId="16">#REF!</definedName>
    <definedName name="___PB1" localSheetId="11">#REF!</definedName>
    <definedName name="___PB1" localSheetId="12">#REF!</definedName>
    <definedName name="___PB1" localSheetId="13">#REF!</definedName>
    <definedName name="___PB1" localSheetId="14">#REF!</definedName>
    <definedName name="___PB1" localSheetId="15">#REF!</definedName>
    <definedName name="___PB1" localSheetId="10">#REF!</definedName>
    <definedName name="___PB1" localSheetId="2">#REF!</definedName>
    <definedName name="___PB1">#REF!</definedName>
    <definedName name="___PKT2">#N/A</definedName>
    <definedName name="___pqr1" localSheetId="2">#REF!</definedName>
    <definedName name="___pqr1">#REF!</definedName>
    <definedName name="___pqr2">#REF!</definedName>
    <definedName name="___QR04">#REF!</definedName>
    <definedName name="___RA4">#REF!</definedName>
    <definedName name="___rel1">'[3]precast RC element'!#REF!</definedName>
    <definedName name="___rel2">'[3]precast RC element'!#REF!</definedName>
    <definedName name="___rig1">'[3]precast RC element'!#REF!</definedName>
    <definedName name="___rig2">'[3]precast RC element'!#REF!</definedName>
    <definedName name="___rim4">#REF!</definedName>
    <definedName name="___rm4" localSheetId="16">#REF!</definedName>
    <definedName name="___rm4">#REF!</definedName>
    <definedName name="___rm4_1" localSheetId="16">#REF!</definedName>
    <definedName name="___rm4_1">#REF!</definedName>
    <definedName name="___rm4_16" localSheetId="16">#REF!</definedName>
    <definedName name="___rm4_16">#REF!</definedName>
    <definedName name="___rm4_16_1">#REF!</definedName>
    <definedName name="___rm4_17">#REF!</definedName>
    <definedName name="___rm4_17_1">#REF!</definedName>
    <definedName name="___rmc1" localSheetId="16">Scheduled_Payment+Extra_Payment</definedName>
    <definedName name="___rmc1" localSheetId="11">Scheduled_Payment+Extra_Payment</definedName>
    <definedName name="___rmc1" localSheetId="14">Scheduled_Payment+Extra_Payment</definedName>
    <definedName name="___rmc1" localSheetId="15">Scheduled_Payment+Extra_Payment</definedName>
    <definedName name="___rmc1" localSheetId="2">Scheduled_Payment+Extra_Payment</definedName>
    <definedName name="___rmc1" localSheetId="9">Scheduled_Payment+Extra_Payment</definedName>
    <definedName name="___rmc1">Scheduled_Payment+Extra_Payment</definedName>
    <definedName name="___rx2" localSheetId="16">#REF!</definedName>
    <definedName name="___rx2" localSheetId="11">#REF!</definedName>
    <definedName name="___rx2" localSheetId="12">#REF!</definedName>
    <definedName name="___rx2" localSheetId="13">#REF!</definedName>
    <definedName name="___rx2" localSheetId="14">#REF!</definedName>
    <definedName name="___rx2" localSheetId="15">#REF!</definedName>
    <definedName name="___rx2" localSheetId="10">#REF!</definedName>
    <definedName name="___rx2" localSheetId="2">#REF!</definedName>
    <definedName name="___rx2">#REF!</definedName>
    <definedName name="___S12" localSheetId="16">'[2]p&amp;m'!#REF!</definedName>
    <definedName name="___S12" localSheetId="2">'[2]p&amp;m'!#REF!</definedName>
    <definedName name="___S12">'[2]p&amp;m'!#REF!</definedName>
    <definedName name="___sa2" localSheetId="16">#REF!</definedName>
    <definedName name="___sa2" localSheetId="2">#REF!</definedName>
    <definedName name="___sa2">#REF!</definedName>
    <definedName name="___SDB3">#N/A</definedName>
    <definedName name="___sh1">90</definedName>
    <definedName name="___sh2">120</definedName>
    <definedName name="___sh3">150</definedName>
    <definedName name="___sh4">180</definedName>
    <definedName name="___SH5" localSheetId="16">#REF!</definedName>
    <definedName name="___SH5">#REF!</definedName>
    <definedName name="___TB2" localSheetId="16">#REF!</definedName>
    <definedName name="___TB2">#REF!</definedName>
    <definedName name="___tek2" localSheetId="16">#REF!</definedName>
    <definedName name="___tek2">#REF!</definedName>
    <definedName name="___xlfn.BAHTTEXT" hidden="1">#NAME?</definedName>
    <definedName name="___xlnm.Print_Area" localSheetId="16">#REF!</definedName>
    <definedName name="___xlnm.Print_Area">#REF!</definedName>
    <definedName name="___xlnm.Print_Titles" localSheetId="16">#REF!</definedName>
    <definedName name="___xlnm.Print_Titles">#REF!</definedName>
    <definedName name="__123Graph_X">#REF!</definedName>
    <definedName name="__a1">#REF!</definedName>
    <definedName name="__A31">#REF!</definedName>
    <definedName name="__A8">#REF!</definedName>
    <definedName name="__A81613">#REF!</definedName>
    <definedName name="__AA1">#REF!</definedName>
    <definedName name="__aaa5">#REF!</definedName>
    <definedName name="__am1">#REF!</definedName>
    <definedName name="__AMT2">'[3]NET Sum'!$J$57</definedName>
    <definedName name="__aoc10" localSheetId="16">#REF!</definedName>
    <definedName name="__aoc10">#REF!</definedName>
    <definedName name="__aoc11" localSheetId="16">#REF!</definedName>
    <definedName name="__aoc11">#REF!</definedName>
    <definedName name="__b111121" localSheetId="16">#REF!</definedName>
    <definedName name="__b111121">#REF!</definedName>
    <definedName name="__bol1">#REF!</definedName>
    <definedName name="__CAN112">13.42</definedName>
    <definedName name="__CAN113">12.98</definedName>
    <definedName name="__CAN117">12.7</definedName>
    <definedName name="__CAN118">13.27</definedName>
    <definedName name="__CAN120">11.72</definedName>
    <definedName name="__CAN210">10.38</definedName>
    <definedName name="__CAN211">10.58</definedName>
    <definedName name="__CAN213">10.56</definedName>
    <definedName name="__CAN215">10.22</definedName>
    <definedName name="__CAN216">9.61</definedName>
    <definedName name="__CAN217">10.47</definedName>
    <definedName name="__CAN219">10.91</definedName>
    <definedName name="__CAN220">11.09</definedName>
    <definedName name="__CAN221">11.25</definedName>
    <definedName name="__CAN222">10.17</definedName>
    <definedName name="__CAN223">9.89</definedName>
    <definedName name="__CAN230">10.79</definedName>
    <definedName name="__can421">40.2</definedName>
    <definedName name="__can422">41.57</definedName>
    <definedName name="__can423">43.9</definedName>
    <definedName name="__can424">41.19</definedName>
    <definedName name="__can425">42.81</definedName>
    <definedName name="__can426">40.77</definedName>
    <definedName name="__can427">40.92</definedName>
    <definedName name="__can428">39.29</definedName>
    <definedName name="__can429">45.19</definedName>
    <definedName name="__can430">40.73</definedName>
    <definedName name="__can431">42.52</definedName>
    <definedName name="__can432">42.53</definedName>
    <definedName name="__can433">43.69</definedName>
    <definedName name="__can434">40.43</definedName>
    <definedName name="__can435">43.3</definedName>
    <definedName name="__cem124">[1]Analysis!$D$434</definedName>
    <definedName name="__dim4" localSheetId="16">#REF!</definedName>
    <definedName name="__dim4" localSheetId="4">#REF!</definedName>
    <definedName name="__dim4" localSheetId="0">#REF!</definedName>
    <definedName name="__dim4">#REF!</definedName>
    <definedName name="__dim4_1" localSheetId="16">#REF!</definedName>
    <definedName name="__dim4_1">#REF!</definedName>
    <definedName name="__dim4_16" localSheetId="16">#REF!</definedName>
    <definedName name="__dim4_16">#REF!</definedName>
    <definedName name="__dim4_16_1">#REF!</definedName>
    <definedName name="__dim4_17">#REF!</definedName>
    <definedName name="__dim4_17_1">#REF!</definedName>
    <definedName name="__EdFJsKAA">[4]!Print</definedName>
    <definedName name="__exc1">#REF!</definedName>
    <definedName name="__exc11">#REF!</definedName>
    <definedName name="__exc2" localSheetId="16">#REF!</definedName>
    <definedName name="__exc2">#REF!</definedName>
    <definedName name="__EXC3" localSheetId="16">#REF!</definedName>
    <definedName name="__EXC3">#REF!</definedName>
    <definedName name="__EXC4" localSheetId="16">#REF!</definedName>
    <definedName name="__EXC4">#REF!</definedName>
    <definedName name="__flx200">#REF!</definedName>
    <definedName name="__flx250">#REF!</definedName>
    <definedName name="__flx300">#REF!</definedName>
    <definedName name="__foo1">#REF!</definedName>
    <definedName name="__foo2">#REF!</definedName>
    <definedName name="__foo3">#REF!</definedName>
    <definedName name="__FOO4">#REF!</definedName>
    <definedName name="__HDD1">#REF!</definedName>
    <definedName name="__HDD1111">#REF!</definedName>
    <definedName name="__ig541">#REF!</definedName>
    <definedName name="__iv66666">#REF!</definedName>
    <definedName name="__JCL1">#N/A</definedName>
    <definedName name="__JCR23">#REF!</definedName>
    <definedName name="__KC139">#REF!</definedName>
    <definedName name="__KC580">#REF!</definedName>
    <definedName name="__Ki1">#REF!</definedName>
    <definedName name="__Ki2">#REF!</definedName>
    <definedName name="__loc1">#N/A</definedName>
    <definedName name="__mac2">200</definedName>
    <definedName name="__MAN1" localSheetId="16">#REF!</definedName>
    <definedName name="__MAN1" localSheetId="11">#REF!</definedName>
    <definedName name="__MAN1" localSheetId="12">#REF!</definedName>
    <definedName name="__MAN1" localSheetId="13">#REF!</definedName>
    <definedName name="__MAN1" localSheetId="14">#REF!</definedName>
    <definedName name="__MAN1" localSheetId="15">#REF!</definedName>
    <definedName name="__MAN1" localSheetId="10">#REF!</definedName>
    <definedName name="__MAN1" localSheetId="2">#REF!</definedName>
    <definedName name="__MAN1">#REF!</definedName>
    <definedName name="__mix10">4.5</definedName>
    <definedName name="__mix15">264/50</definedName>
    <definedName name="__mix20">330/50</definedName>
    <definedName name="__mix30">352/50</definedName>
    <definedName name="__mix40">396/50</definedName>
    <definedName name="__PB1" localSheetId="16">#REF!</definedName>
    <definedName name="__PB1" localSheetId="11">#REF!</definedName>
    <definedName name="__PB1" localSheetId="12">#REF!</definedName>
    <definedName name="__PB1" localSheetId="13">#REF!</definedName>
    <definedName name="__PB1" localSheetId="14">#REF!</definedName>
    <definedName name="__PB1" localSheetId="15">#REF!</definedName>
    <definedName name="__PB1" localSheetId="10">#REF!</definedName>
    <definedName name="__PB1" localSheetId="2">#REF!</definedName>
    <definedName name="__PB1">#REF!</definedName>
    <definedName name="__pcc1" localSheetId="16">#REF!</definedName>
    <definedName name="__pcc1">#REF!</definedName>
    <definedName name="__pcc2" localSheetId="16">#REF!</definedName>
    <definedName name="__pcc2">#REF!</definedName>
    <definedName name="__pcc3">#REF!</definedName>
    <definedName name="__PCC4">#REF!</definedName>
    <definedName name="__PKT2">#N/A</definedName>
    <definedName name="__plb1" localSheetId="16">#REF!</definedName>
    <definedName name="__plb1">#REF!</definedName>
    <definedName name="__plb2" localSheetId="16">#REF!</definedName>
    <definedName name="__plb2">#REF!</definedName>
    <definedName name="__plb3" localSheetId="16">#REF!</definedName>
    <definedName name="__plb3">#REF!</definedName>
    <definedName name="__plb4">#REF!</definedName>
    <definedName name="__pqr1">#REF!</definedName>
    <definedName name="__pqr2">#REF!</definedName>
    <definedName name="__QR04">#REF!</definedName>
    <definedName name="__RA4">#REF!</definedName>
    <definedName name="__rim4">#REF!</definedName>
    <definedName name="__rm4" localSheetId="4">#REF!</definedName>
    <definedName name="__rm4" localSheetId="0">#REF!</definedName>
    <definedName name="__rm4">#REF!</definedName>
    <definedName name="__rm4_1">#REF!</definedName>
    <definedName name="__rm4_16">#REF!</definedName>
    <definedName name="__rm4_16_1">#REF!</definedName>
    <definedName name="__rm4_17">#REF!</definedName>
    <definedName name="__rm4_17_1">#REF!</definedName>
    <definedName name="__rx2">#REF!</definedName>
    <definedName name="__S12">'[2]p&amp;m'!#REF!</definedName>
    <definedName name="__sa2" localSheetId="16">#REF!</definedName>
    <definedName name="__sa2">#REF!</definedName>
    <definedName name="__SDB3">#N/A</definedName>
    <definedName name="__sh1">90</definedName>
    <definedName name="__sh2">120</definedName>
    <definedName name="__sh3">150</definedName>
    <definedName name="__sh4">180</definedName>
    <definedName name="__SH5" localSheetId="16">#REF!</definedName>
    <definedName name="__SH5">#REF!</definedName>
    <definedName name="__ss2" localSheetId="16">#REF!</definedName>
    <definedName name="__ss2">#REF!</definedName>
    <definedName name="__SSd1">#REF!</definedName>
    <definedName name="__tab1">#REF!</definedName>
    <definedName name="__tab2">#REF!</definedName>
    <definedName name="__TB2" localSheetId="16">#REF!</definedName>
    <definedName name="__TB2">#REF!</definedName>
    <definedName name="__tek2" localSheetId="16">#REF!</definedName>
    <definedName name="__tek2">#REF!</definedName>
    <definedName name="__vat5" localSheetId="16">#REF!</definedName>
    <definedName name="__vat5">#REF!</definedName>
    <definedName name="__xlfn.BAHTTEXT" hidden="1">#NAME?</definedName>
    <definedName name="__xlnm.Print_Area" localSheetId="16">#REF!</definedName>
    <definedName name="__xlnm.Print_Area">#REF!</definedName>
    <definedName name="__xlnm.Print_Area_1" localSheetId="16">#REF!</definedName>
    <definedName name="__xlnm.Print_Area_1">#REF!</definedName>
    <definedName name="__xlnm.Print_Titles">#REF!</definedName>
    <definedName name="_0">#REF!</definedName>
    <definedName name="_0___0">#REF!</definedName>
    <definedName name="_1___________Excel_BuiltIn_Print_Area_2_1_1">#REF!</definedName>
    <definedName name="_10__Excel_BuiltIn_Print_Area_1_1">#REF!</definedName>
    <definedName name="_11_Excel_BuiltIn_Print_Area_1_1">#REF!</definedName>
    <definedName name="_12_Excel_BuiltIn_Print_Area_2_1_1">#REF!</definedName>
    <definedName name="_2__________Excel_BuiltIn_Print_Area_2_1_1">#REF!</definedName>
    <definedName name="_2_2">[5]Evaluate!$M$46</definedName>
    <definedName name="_2C_X_1_Sq._mm_unscreened" localSheetId="16">#REF!</definedName>
    <definedName name="_2C_X_1_Sq._mm_unscreened" localSheetId="11">#REF!</definedName>
    <definedName name="_2C_X_1_Sq._mm_unscreened" localSheetId="12">#REF!</definedName>
    <definedName name="_2C_X_1_Sq._mm_unscreened" localSheetId="13">#REF!</definedName>
    <definedName name="_2C_X_1_Sq._mm_unscreened" localSheetId="14">#REF!</definedName>
    <definedName name="_2C_X_1_Sq._mm_unscreened" localSheetId="15">#REF!</definedName>
    <definedName name="_2C_X_1_Sq._mm_unscreened" localSheetId="10">#REF!</definedName>
    <definedName name="_2C_X_1_Sq._mm_unscreened" localSheetId="2">#REF!</definedName>
    <definedName name="_2C_X_1_Sq._mm_unscreened">#REF!</definedName>
    <definedName name="_2m_100" localSheetId="16">#REF!</definedName>
    <definedName name="_2m_100">#REF!</definedName>
    <definedName name="_2m_150" localSheetId="16">#REF!</definedName>
    <definedName name="_2m_150">#REF!</definedName>
    <definedName name="_2m_200">#REF!</definedName>
    <definedName name="_2m_25">#REF!</definedName>
    <definedName name="_2m_250">#REF!</definedName>
    <definedName name="_2m_300">#REF!</definedName>
    <definedName name="_2m_32">#REF!</definedName>
    <definedName name="_2m_40">#REF!</definedName>
    <definedName name="_2m_50">#REF!</definedName>
    <definedName name="_2m_65">#REF!</definedName>
    <definedName name="_2m_80">#REF!</definedName>
    <definedName name="_3_________Excel_BuiltIn_Print_Area_2_1_1">#REF!</definedName>
    <definedName name="_30cd___Horizontal_Strobe_light_speaker__wall_mounted">#REF!</definedName>
    <definedName name="_30cd__Vertical_strobe_light__wall_mounted">#REF!</definedName>
    <definedName name="_3m_100">#REF!</definedName>
    <definedName name="_3m_150">#REF!</definedName>
    <definedName name="_3m_200">#REF!</definedName>
    <definedName name="_3m_25">#REF!</definedName>
    <definedName name="_3m_250">#REF!</definedName>
    <definedName name="_3m_300">#REF!</definedName>
    <definedName name="_3m_32">#REF!</definedName>
    <definedName name="_3m_40">#REF!</definedName>
    <definedName name="_3m_50">#REF!</definedName>
    <definedName name="_3m_65">#REF!</definedName>
    <definedName name="_3m_80">#REF!</definedName>
    <definedName name="_4________Excel_BuiltIn_Print_Area_2_1_1">#REF!</definedName>
    <definedName name="_5.0_Hire_and_running_charges_of_winch___grab">[5]SOR!#REF!</definedName>
    <definedName name="_5_______Excel_BuiltIn_Print_Area_2_1_1">#REF!</definedName>
    <definedName name="_6______Excel_BuiltIn_Print_Area_2_1_1">#REF!</definedName>
    <definedName name="_7_____Excel_BuiltIn_Print_Area_2_1_1">#REF!</definedName>
    <definedName name="_8____Excel_BuiltIn_Print_Area_2_1_1">#REF!</definedName>
    <definedName name="_9___Excel_BuiltIn_Print_Area_1_1">#REF!</definedName>
    <definedName name="_96.12.30">'[6]Fee Rate Summary'!#REF!</definedName>
    <definedName name="_a" localSheetId="16">#REF!</definedName>
    <definedName name="_A">#REF!</definedName>
    <definedName name="_a1" localSheetId="16">#REF!</definedName>
    <definedName name="_a1">#REF!</definedName>
    <definedName name="_A31">#REF!</definedName>
    <definedName name="_A8" localSheetId="16">#REF!</definedName>
    <definedName name="_A8">#REF!</definedName>
    <definedName name="_A81613">#REF!</definedName>
    <definedName name="_AA1">#REF!</definedName>
    <definedName name="_aaa10">#REF!</definedName>
    <definedName name="_aaa11">#REF!</definedName>
    <definedName name="_AAA12">#REF!</definedName>
    <definedName name="_AAA21">#REF!</definedName>
    <definedName name="_aaa5">#REF!</definedName>
    <definedName name="_AAA51">#REF!</definedName>
    <definedName name="_AAA53">#REF!</definedName>
    <definedName name="_aaa54">#REF!</definedName>
    <definedName name="_aaa545">#REF!</definedName>
    <definedName name="_aaa55">#REF!</definedName>
    <definedName name="_aaa56">#REF!</definedName>
    <definedName name="_AAA57">#REF!</definedName>
    <definedName name="_aaa59">#REF!</definedName>
    <definedName name="_AAA6">#REF!</definedName>
    <definedName name="_AAA7">#REF!</definedName>
    <definedName name="_AAD5">#REF!</definedName>
    <definedName name="_aad55">#REF!</definedName>
    <definedName name="_AAD56">#REF!</definedName>
    <definedName name="_AAD57">#REF!</definedName>
    <definedName name="_adj1">#REF!</definedName>
    <definedName name="_ahu2">'[7]Costing-blk-B'!#REF!</definedName>
    <definedName name="_am1">#REF!</definedName>
    <definedName name="_AMT2">'[8]NET Sum'!$J$57</definedName>
    <definedName name="_b" localSheetId="16">#REF!</definedName>
    <definedName name="_B">#REF!</definedName>
    <definedName name="_b111121" localSheetId="16">#REF!</definedName>
    <definedName name="_b111121">#REF!</definedName>
    <definedName name="_bol1" localSheetId="16">#REF!</definedName>
    <definedName name="_bol1">#REF!</definedName>
    <definedName name="_C">#REF!</definedName>
    <definedName name="_C___0">#REF!</definedName>
    <definedName name="_C___13">#REF!</definedName>
    <definedName name="_CAN112">13.42</definedName>
    <definedName name="_CAN113">12.98</definedName>
    <definedName name="_CAN117">12.7</definedName>
    <definedName name="_CAN118">13.27</definedName>
    <definedName name="_CAN120">11.72</definedName>
    <definedName name="_CAN210">10.38</definedName>
    <definedName name="_CAN211">10.58</definedName>
    <definedName name="_CAN213">10.56</definedName>
    <definedName name="_CAN215">10.22</definedName>
    <definedName name="_CAN216">9.61</definedName>
    <definedName name="_CAN217">10.47</definedName>
    <definedName name="_CAN219">10.91</definedName>
    <definedName name="_CAN220">11.09</definedName>
    <definedName name="_CAN221">11.25</definedName>
    <definedName name="_CAN222">10.17</definedName>
    <definedName name="_CAN223">9.89</definedName>
    <definedName name="_CAN230">10.79</definedName>
    <definedName name="_can421">40.2</definedName>
    <definedName name="_can422">41.57</definedName>
    <definedName name="_can423">43.9</definedName>
    <definedName name="_can424">41.19</definedName>
    <definedName name="_can425">42.81</definedName>
    <definedName name="_can426">40.77</definedName>
    <definedName name="_can427">40.92</definedName>
    <definedName name="_can428">39.29</definedName>
    <definedName name="_can429">45.19</definedName>
    <definedName name="_can430">40.73</definedName>
    <definedName name="_can431">42.52</definedName>
    <definedName name="_can432">42.53</definedName>
    <definedName name="_can433">43.69</definedName>
    <definedName name="_can434">40.43</definedName>
    <definedName name="_can435">43.3</definedName>
    <definedName name="_COL10" localSheetId="16">'[8]col-reinft1'!#REF!</definedName>
    <definedName name="_COL10">#REF!</definedName>
    <definedName name="_COL101" localSheetId="16">'[9]col-reinft1'!#REF!</definedName>
    <definedName name="_COL101">#REF!</definedName>
    <definedName name="_col102" localSheetId="16">'[9]col-reinft1'!#REF!</definedName>
    <definedName name="_col102">#REF!</definedName>
    <definedName name="_col103" localSheetId="16">'[9]col-reinft1'!#REF!</definedName>
    <definedName name="_col103">#REF!</definedName>
    <definedName name="_col104" localSheetId="16">'[9]col-reinft1'!#REF!</definedName>
    <definedName name="_col104">#REF!</definedName>
    <definedName name="_COL11" localSheetId="16">'[8]col-reinft1'!#REF!</definedName>
    <definedName name="_COL11">#REF!</definedName>
    <definedName name="_col110" localSheetId="16">'[9]col-reinft1'!#REF!</definedName>
    <definedName name="_col110">#REF!</definedName>
    <definedName name="_COL111" localSheetId="16">'[9]col-reinft1'!#REF!</definedName>
    <definedName name="_COL111">#REF!</definedName>
    <definedName name="_col112" localSheetId="16">'[9]col-reinft1'!#REF!</definedName>
    <definedName name="_col112">#REF!</definedName>
    <definedName name="_col113" localSheetId="16">'[9]col-reinft1'!#REF!</definedName>
    <definedName name="_col113">#REF!</definedName>
    <definedName name="_COL12" localSheetId="16">'[9]col-reinft1'!#REF!</definedName>
    <definedName name="_COL12">#REF!</definedName>
    <definedName name="_COL13" localSheetId="16">'[9]col-reinft1'!#REF!</definedName>
    <definedName name="_COL13">#REF!</definedName>
    <definedName name="_COL14" localSheetId="16">#REF!</definedName>
    <definedName name="_COL14">#REF!</definedName>
    <definedName name="_COL15" localSheetId="16">#REF!</definedName>
    <definedName name="_COL15">#REF!</definedName>
    <definedName name="_COL16" localSheetId="16">#REF!</definedName>
    <definedName name="_COL16">#REF!</definedName>
    <definedName name="_COL21" localSheetId="16">'[9]col-reinft1'!#REF!</definedName>
    <definedName name="_COL21">#REF!</definedName>
    <definedName name="_CY53__" localSheetId="16">#REF!</definedName>
    <definedName name="_CY53__">#REF!</definedName>
    <definedName name="_d" localSheetId="16">#REF!</definedName>
    <definedName name="_d">#REF!</definedName>
    <definedName name="_DAT1" localSheetId="16">#REF!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5">#REF!</definedName>
    <definedName name="_DAT6">#REF!</definedName>
    <definedName name="_DAT7">#REF!</definedName>
    <definedName name="_DAT8">#REF!</definedName>
    <definedName name="_DAT9">#REF!</definedName>
    <definedName name="_dim4" localSheetId="4">#REF!</definedName>
    <definedName name="_dim4">#REF!</definedName>
    <definedName name="_dim4_1">#REF!</definedName>
    <definedName name="_dim4_16">#REF!</definedName>
    <definedName name="_dim4_16_1">#REF!</definedName>
    <definedName name="_dim4_17">#REF!</definedName>
    <definedName name="_dim4_17_1">#REF!</definedName>
    <definedName name="_dol11">[10]starter!$R$61</definedName>
    <definedName name="_e" localSheetId="16">#REF!</definedName>
    <definedName name="_e">#REF!</definedName>
    <definedName name="_exc1" localSheetId="16">#REF!</definedName>
    <definedName name="_exc1">#REF!</definedName>
    <definedName name="_exc11" localSheetId="16">#REF!</definedName>
    <definedName name="_exc11">#REF!</definedName>
    <definedName name="_exc2">#REF!</definedName>
    <definedName name="_EXC3">#REF!</definedName>
    <definedName name="_EXC4">#REF!</definedName>
    <definedName name="_fac1">#REF!</definedName>
    <definedName name="_fac2">#REF!</definedName>
    <definedName name="_fac3">#REF!</definedName>
    <definedName name="_Fill" localSheetId="4" hidden="1">#REF!</definedName>
    <definedName name="_Fill" hidden="1">#REF!</definedName>
    <definedName name="_fill." hidden="1">[11]A.O.R.!#REF!</definedName>
    <definedName name="_Fill1" hidden="1">[11]A.O.R.!#REF!</definedName>
    <definedName name="_xlnm._FilterDatabase" hidden="1">'[12]SP Break Up'!$A$6:$I$39</definedName>
    <definedName name="_flx300" localSheetId="16">#REF!</definedName>
    <definedName name="_flx300">#REF!</definedName>
    <definedName name="_foo1" localSheetId="16">#REF!</definedName>
    <definedName name="_foo1">#REF!</definedName>
    <definedName name="_foo2" localSheetId="16">#REF!</definedName>
    <definedName name="_foo2">#REF!</definedName>
    <definedName name="_foo3">#REF!</definedName>
    <definedName name="_FOO4">#REF!</definedName>
    <definedName name="_gm10" localSheetId="16">'[9]col-reinft1'!#REF!</definedName>
    <definedName name="_gm10">#REF!</definedName>
    <definedName name="_gm11" localSheetId="16">'[9]col-reinft1'!#REF!</definedName>
    <definedName name="_gm11">#REF!</definedName>
    <definedName name="_gm12" localSheetId="16">'[9]col-reinft1'!#REF!</definedName>
    <definedName name="_gm12">#REF!</definedName>
    <definedName name="_GM13" localSheetId="16">'[9]col-reinft1'!#REF!</definedName>
    <definedName name="_GM13">#REF!</definedName>
    <definedName name="_GM2" localSheetId="16">'[9]col-reinft1'!#REF!</definedName>
    <definedName name="_GM2">#REF!</definedName>
    <definedName name="_GOTO_I10_" localSheetId="16">#REF!</definedName>
    <definedName name="_GOTO_I10_">#REF!</definedName>
    <definedName name="_HDD1">#REF!</definedName>
    <definedName name="_HDD1111">#REF!</definedName>
    <definedName name="_hp10" localSheetId="16" hidden="1">{#N/A,#N/A,TRUE,"Front";#N/A,#N/A,TRUE,"Simple Letter";#N/A,#N/A,TRUE,"Inside";#N/A,#N/A,TRUE,"Contents";#N/A,#N/A,TRUE,"Basis";#N/A,#N/A,TRUE,"Inclusions";#N/A,#N/A,TRUE,"Exclusions";#N/A,#N/A,TRUE,"Areas";#N/A,#N/A,TRUE,"Summary";#N/A,#N/A,TRUE,"Detail"}</definedName>
    <definedName name="_hp10" localSheetId="2"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ig541" localSheetId="16">#REF!</definedName>
    <definedName name="_ig541" localSheetId="11">#REF!</definedName>
    <definedName name="_ig541" localSheetId="12">#REF!</definedName>
    <definedName name="_ig541" localSheetId="13">#REF!</definedName>
    <definedName name="_ig541" localSheetId="14">#REF!</definedName>
    <definedName name="_ig541" localSheetId="15">#REF!</definedName>
    <definedName name="_ig541" localSheetId="10">#REF!</definedName>
    <definedName name="_ig541" localSheetId="2">#REF!</definedName>
    <definedName name="_ig541">#REF!</definedName>
    <definedName name="_ind1" localSheetId="16">#REF!</definedName>
    <definedName name="_ind1">#REF!</definedName>
    <definedName name="_IND11" localSheetId="16">#REF!</definedName>
    <definedName name="_IND11">#REF!</definedName>
    <definedName name="_IND31">#REF!</definedName>
    <definedName name="_iv66666">#REF!</definedName>
    <definedName name="_JCL1">#N/A</definedName>
    <definedName name="_JCR23">#REF!</definedName>
    <definedName name="_KC139">#REF!</definedName>
    <definedName name="_KC580">#REF!</definedName>
    <definedName name="_Key1" localSheetId="4" hidden="1">#REF!</definedName>
    <definedName name="_Key1" localSheetId="0" hidden="1">#REF!</definedName>
    <definedName name="_Key1" hidden="1">#REF!</definedName>
    <definedName name="_Ki1">#REF!</definedName>
    <definedName name="_Ki2">#REF!</definedName>
    <definedName name="_l">#REF!</definedName>
    <definedName name="_LC4">#REF!</definedName>
    <definedName name="_lef1">'[3]precast RC element'!#REF!</definedName>
    <definedName name="_lef2">'[3]precast RC element'!#REF!</definedName>
    <definedName name="_lel1">'[3]precast RC element'!#REF!</definedName>
    <definedName name="_lel2">'[3]precast RC element'!#REF!</definedName>
    <definedName name="_loc1">#N/A</definedName>
    <definedName name="_lsc44" localSheetId="16">#REF!</definedName>
    <definedName name="_lsc44">#REF!</definedName>
    <definedName name="_m">#REF!</definedName>
    <definedName name="_mac2">200</definedName>
    <definedName name="_MAN1" localSheetId="16">#REF!</definedName>
    <definedName name="_MAN1" localSheetId="11">#REF!</definedName>
    <definedName name="_MAN1" localSheetId="12">#REF!</definedName>
    <definedName name="_MAN1" localSheetId="13">#REF!</definedName>
    <definedName name="_MAN1" localSheetId="14">#REF!</definedName>
    <definedName name="_MAN1" localSheetId="15">#REF!</definedName>
    <definedName name="_MAN1" localSheetId="10">#REF!</definedName>
    <definedName name="_MAN1" localSheetId="2">#REF!</definedName>
    <definedName name="_MAN1">#REF!</definedName>
    <definedName name="_mix10">4.5</definedName>
    <definedName name="_mix15">264/50</definedName>
    <definedName name="_mix20">330/50</definedName>
    <definedName name="_mix30">352/50</definedName>
    <definedName name="_mix40">396/50</definedName>
    <definedName name="_NNN3" localSheetId="16">'[9]col-reinft1'!#REF!</definedName>
    <definedName name="_NNN3">#REF!</definedName>
    <definedName name="_nnn45" localSheetId="16">'[9]col-reinft1'!#REF!</definedName>
    <definedName name="_nnn45">#REF!</definedName>
    <definedName name="_nnn5" localSheetId="16">'[9]col-reinft1'!#REF!</definedName>
    <definedName name="_nnn5">#REF!</definedName>
    <definedName name="_NNN55" localSheetId="16">'[9]col-reinft1'!#REF!</definedName>
    <definedName name="_NNN55">#REF!</definedName>
    <definedName name="_No1" localSheetId="16">#REF!</definedName>
    <definedName name="_No1">#REF!</definedName>
    <definedName name="_No2" localSheetId="16">#REF!</definedName>
    <definedName name="_No2">#REF!</definedName>
    <definedName name="_No3" localSheetId="16">#REF!</definedName>
    <definedName name="_No3">#REF!</definedName>
    <definedName name="_ok1">[13]concrete!$B$97</definedName>
    <definedName name="_ok10">[13]concrete!$B$97</definedName>
    <definedName name="_Order1" hidden="1">255</definedName>
    <definedName name="_Order2" hidden="1">255</definedName>
    <definedName name="_p" localSheetId="16">#REF!</definedName>
    <definedName name="_p">#REF!</definedName>
    <definedName name="_PB1" localSheetId="16">#REF!</definedName>
    <definedName name="_PB1" localSheetId="11">#REF!</definedName>
    <definedName name="_PB1" localSheetId="12">#REF!</definedName>
    <definedName name="_PB1" localSheetId="13">#REF!</definedName>
    <definedName name="_PB1" localSheetId="14">#REF!</definedName>
    <definedName name="_PB1" localSheetId="15">#REF!</definedName>
    <definedName name="_PB1" localSheetId="10">#REF!</definedName>
    <definedName name="_PB1">#REF!</definedName>
    <definedName name="_pcc1" localSheetId="16">#REF!</definedName>
    <definedName name="_pcc1">#REF!</definedName>
    <definedName name="_pcc2">#REF!</definedName>
    <definedName name="_pcc3">#REF!</definedName>
    <definedName name="_PCC4">#REF!</definedName>
    <definedName name="_pdp1">[14]costing!#REF!</definedName>
    <definedName name="_pdp2">[14]costing!#REF!</definedName>
    <definedName name="_pdp3">[14]costing!#REF!</definedName>
    <definedName name="_PKT2">#N/A</definedName>
    <definedName name="_plb1" localSheetId="16">#REF!</definedName>
    <definedName name="_plb1">#REF!</definedName>
    <definedName name="_plb2" localSheetId="16">#REF!</definedName>
    <definedName name="_plb2">#REF!</definedName>
    <definedName name="_plb3" localSheetId="16">#REF!</definedName>
    <definedName name="_plb3">#REF!</definedName>
    <definedName name="_plb4">#REF!</definedName>
    <definedName name="_PPRN3..AF242">#REF!</definedName>
    <definedName name="_pqr1">#REF!</definedName>
    <definedName name="_pqr2">#REF!</definedName>
    <definedName name="_q">#REF!</definedName>
    <definedName name="_QR04">#REF!</definedName>
    <definedName name="_RA4">#REF!</definedName>
    <definedName name="_rab07">#REF!</definedName>
    <definedName name="_RAM12">'[15]beam-reinft-machine rm'!$N$319</definedName>
    <definedName name="_RDL1">#REF!</definedName>
    <definedName name="_RDL2">#REF!</definedName>
    <definedName name="_RDL4">#REF!</definedName>
    <definedName name="_Re1" localSheetId="16">#REF!</definedName>
    <definedName name="_Re1">#REF!</definedName>
    <definedName name="_rel1">'[3]precast RC element'!#REF!</definedName>
    <definedName name="_rel2">'[3]precast RC element'!#REF!</definedName>
    <definedName name="_rig1">'[3]precast RC element'!#REF!</definedName>
    <definedName name="_rig2">'[3]precast RC element'!#REF!</definedName>
    <definedName name="_rim4" localSheetId="16">#REF!</definedName>
    <definedName name="_rim4">#REF!</definedName>
    <definedName name="_rm4" localSheetId="16">#REF!</definedName>
    <definedName name="_rm4" localSheetId="11">#REF!</definedName>
    <definedName name="_rm4" localSheetId="12">#REF!</definedName>
    <definedName name="_rm4" localSheetId="13">#REF!</definedName>
    <definedName name="_rm4" localSheetId="14">#REF!</definedName>
    <definedName name="_rm4" localSheetId="15">#REF!</definedName>
    <definedName name="_rm4" localSheetId="10">#REF!</definedName>
    <definedName name="_rm4" localSheetId="4">#REF!</definedName>
    <definedName name="_rm4">#REF!</definedName>
    <definedName name="_rm4_1" localSheetId="16">#REF!</definedName>
    <definedName name="_rm4_1">#REF!</definedName>
    <definedName name="_rm4_16">#REF!</definedName>
    <definedName name="_rm4_16_1">#REF!</definedName>
    <definedName name="_rm4_17">#REF!</definedName>
    <definedName name="_rm4_17_1">#REF!</definedName>
    <definedName name="_rmc1" localSheetId="16">Scheduled_Payment+Extra_Payment</definedName>
    <definedName name="_rmc1" localSheetId="11">Scheduled_Payment+Extra_Payment</definedName>
    <definedName name="_rmc1" localSheetId="14">Scheduled_Payment+Extra_Payment</definedName>
    <definedName name="_rmc1" localSheetId="15">Scheduled_Payment+Extra_Payment</definedName>
    <definedName name="_rmc1" localSheetId="2">Scheduled_Payment+Extra_Payment</definedName>
    <definedName name="_rmc1" localSheetId="9">Scheduled_Payment+Extra_Payment</definedName>
    <definedName name="_rmc1">Scheduled_Payment+Extra_Payment</definedName>
    <definedName name="_RNN1" localSheetId="16">[16]COLUMN!#REF!</definedName>
    <definedName name="_RNN1" localSheetId="2">#REF!</definedName>
    <definedName name="_RNN1">#REF!</definedName>
    <definedName name="_row1" localSheetId="16">'[17]BOQ LT'!#REF!</definedName>
    <definedName name="_row1" localSheetId="2">'[17]BOQ LT'!#REF!</definedName>
    <definedName name="_row1">'[17]BOQ LT'!#REF!</definedName>
    <definedName name="_Rs1" localSheetId="16">#REF!</definedName>
    <definedName name="_Rs1" localSheetId="2">#REF!</definedName>
    <definedName name="_Rs1">#REF!</definedName>
    <definedName name="_RVAE306___DOWN" localSheetId="16">#REF!</definedName>
    <definedName name="_RVAE306___DOWN">#REF!</definedName>
    <definedName name="_RVAE358___DOWN" localSheetId="16">#REF!</definedName>
    <definedName name="_RVAE358___DOWN">#REF!</definedName>
    <definedName name="_RVAE395___DOWN">#REF!</definedName>
    <definedName name="_RVY53..AE53__">#REF!</definedName>
    <definedName name="_s">#REF!</definedName>
    <definedName name="_s1" localSheetId="11">#REF!</definedName>
    <definedName name="_s1" localSheetId="12">#REF!</definedName>
    <definedName name="_s1" localSheetId="13">#REF!</definedName>
    <definedName name="_s1" localSheetId="14">#REF!</definedName>
    <definedName name="_s1" localSheetId="15">#REF!</definedName>
    <definedName name="_s1" localSheetId="10">#REF!</definedName>
    <definedName name="_s1">#REF!</definedName>
    <definedName name="_S12">#REF!</definedName>
    <definedName name="_s2">#REF!</definedName>
    <definedName name="_s4">#REF!</definedName>
    <definedName name="_sa2">#REF!</definedName>
    <definedName name="_SDB3">#N/A</definedName>
    <definedName name="_sec1" localSheetId="16">#REF!</definedName>
    <definedName name="_sec1">#REF!</definedName>
    <definedName name="_sec111" localSheetId="16">#REF!</definedName>
    <definedName name="_sec111">#REF!</definedName>
    <definedName name="_sec12" localSheetId="16">[13]concrete!#REF!</definedName>
    <definedName name="_sec12">#REF!</definedName>
    <definedName name="_SEC13" localSheetId="16">[18]concrete!#REF!</definedName>
    <definedName name="_SEC13">#REF!</definedName>
    <definedName name="_SEC15" localSheetId="16">#REF!</definedName>
    <definedName name="_SEC15">#REF!</definedName>
    <definedName name="_Sec2" localSheetId="16">#REF!</definedName>
    <definedName name="_Sec2">#REF!</definedName>
    <definedName name="_sec22" localSheetId="16">#REF!</definedName>
    <definedName name="_sec22">#REF!</definedName>
    <definedName name="_SEC23">#REF!</definedName>
    <definedName name="_sec3">#REF!</definedName>
    <definedName name="_SEC32">#REF!</definedName>
    <definedName name="_sec33">#REF!</definedName>
    <definedName name="_Sec4">#REF!</definedName>
    <definedName name="_sec44" localSheetId="16">[13]concrete!#REF!</definedName>
    <definedName name="_sec44">#REF!</definedName>
    <definedName name="_sec45" localSheetId="16">#REF!</definedName>
    <definedName name="_sec45">#REF!</definedName>
    <definedName name="_SEC46" localSheetId="16">#REF!</definedName>
    <definedName name="_SEC46">#REF!</definedName>
    <definedName name="_sec5" localSheetId="16">#REF!</definedName>
    <definedName name="_sec5">#REF!</definedName>
    <definedName name="_sec55">#REF!</definedName>
    <definedName name="_SEC56">#REF!</definedName>
    <definedName name="_sec6">#REF!</definedName>
    <definedName name="_sec66">#REF!</definedName>
    <definedName name="_SEC67">#REF!</definedName>
    <definedName name="_sec7">#REF!</definedName>
    <definedName name="_sec71">#REF!</definedName>
    <definedName name="_SEC72">#REF!</definedName>
    <definedName name="_SEC74">#REF!</definedName>
    <definedName name="_SEC75">#REF!</definedName>
    <definedName name="_SEC77">#REF!</definedName>
    <definedName name="_sec777">#REF!</definedName>
    <definedName name="_sec78">#REF!</definedName>
    <definedName name="_sec79">#REF!</definedName>
    <definedName name="_sec8">#REF!</definedName>
    <definedName name="_sec81">#REF!</definedName>
    <definedName name="_SEC82">#REF!</definedName>
    <definedName name="_SEC83">#REF!</definedName>
    <definedName name="_SEC87">#REF!</definedName>
    <definedName name="_SEC88">#REF!</definedName>
    <definedName name="_sec888">#REF!</definedName>
    <definedName name="_sec89">#REF!</definedName>
    <definedName name="_sec899">#REF!</definedName>
    <definedName name="_SEC9">#REF!</definedName>
    <definedName name="_SEC91">#REF!</definedName>
    <definedName name="_see2">[13]concrete!$B$124</definedName>
    <definedName name="_SEE23">[18]concrete!$B$124</definedName>
    <definedName name="_see44">[13]concrete!$B$124</definedName>
    <definedName name="_SFU100">#REF!</definedName>
    <definedName name="_SFU20">#REF!</definedName>
    <definedName name="_SFU200">#REF!</definedName>
    <definedName name="_SFU50">#REF!</definedName>
    <definedName name="_sh1">90</definedName>
    <definedName name="_sh2">120</definedName>
    <definedName name="_sh3">150</definedName>
    <definedName name="_sh4">180</definedName>
    <definedName name="_SH5">#REF!</definedName>
    <definedName name="_Sort" localSheetId="16" hidden="1">#REF!</definedName>
    <definedName name="_Sort" localSheetId="4" hidden="1">#REF!</definedName>
    <definedName name="_Sort" localSheetId="0" hidden="1">#REF!</definedName>
    <definedName name="_Sort" hidden="1">#REF!</definedName>
    <definedName name="_SS2" localSheetId="16">#REF!</definedName>
    <definedName name="_SS2">#REF!</definedName>
    <definedName name="_SSd1">#REF!</definedName>
    <definedName name="_sss1" localSheetId="16">'[9]col-reinft1'!#REF!</definedName>
    <definedName name="_sss1">#REF!</definedName>
    <definedName name="_sss10" localSheetId="16">'[9]col-reinft1'!#REF!</definedName>
    <definedName name="_sss10">#REF!</definedName>
    <definedName name="_sss11" localSheetId="16">'[9]col-reinft1'!#REF!</definedName>
    <definedName name="_sss11">#REF!</definedName>
    <definedName name="_SSS2" localSheetId="16">'[9]col-reinft1'!#REF!</definedName>
    <definedName name="_SSS2">#REF!</definedName>
    <definedName name="_SSS3" localSheetId="16">'[9]col-reinft1'!#REF!</definedName>
    <definedName name="_SSS3">#REF!</definedName>
    <definedName name="_SSS32" localSheetId="16">'[9]col-reinft1'!#REF!</definedName>
    <definedName name="_SSS32">#REF!</definedName>
    <definedName name="_sub20" localSheetId="16">#REF!</definedName>
    <definedName name="_sub20">#REF!</definedName>
    <definedName name="_tab1" localSheetId="16">#REF!</definedName>
    <definedName name="_tab1">#REF!</definedName>
    <definedName name="_tab2" localSheetId="16">#REF!</definedName>
    <definedName name="_tab2">#REF!</definedName>
    <definedName name="_TB2" localSheetId="16">#REF!</definedName>
    <definedName name="_TB2">#REF!</definedName>
    <definedName name="_tek2" localSheetId="16">#REF!</definedName>
    <definedName name="_tek2">#REF!</definedName>
    <definedName name="_tk1" localSheetId="16">#REF!</definedName>
    <definedName name="_tk1">#REF!</definedName>
    <definedName name="_tk11">[13]concrete!$N$18</definedName>
    <definedName name="_tk2">[13]concrete!$N$18</definedName>
    <definedName name="_TTL1" localSheetId="16">#REF!</definedName>
    <definedName name="_TTL1">#REF!</definedName>
    <definedName name="_TTL2" localSheetId="16">#REF!</definedName>
    <definedName name="_TTL2">#REF!</definedName>
    <definedName name="_TTL3" localSheetId="16">#REF!</definedName>
    <definedName name="_TTL3">#REF!</definedName>
    <definedName name="_TTL4">#REF!</definedName>
    <definedName name="_TTL5">#REF!</definedName>
    <definedName name="_TTL6">#REF!</definedName>
    <definedName name="_V1">[19]Voucher!$B$1</definedName>
    <definedName name="_V2">[19]Voucher!$R$1</definedName>
    <definedName name="_vat5" localSheetId="16">#REF!</definedName>
    <definedName name="_vat5" localSheetId="11">#REF!</definedName>
    <definedName name="_vat5" localSheetId="12">#REF!</definedName>
    <definedName name="_vat5" localSheetId="13">#REF!</definedName>
    <definedName name="_vat5" localSheetId="14">#REF!</definedName>
    <definedName name="_vat5" localSheetId="15">#REF!</definedName>
    <definedName name="_vat5" localSheetId="10">#REF!</definedName>
    <definedName name="_vat5" localSheetId="2">#REF!</definedName>
    <definedName name="_vat5">#REF!</definedName>
    <definedName name="_WGZY_" localSheetId="16">#REF!</definedName>
    <definedName name="_WGZY_">#REF!</definedName>
    <definedName name="_x" localSheetId="16">#REF!</definedName>
    <definedName name="_x">#REF!</definedName>
    <definedName name="〃" localSheetId="4">#REF!</definedName>
    <definedName name="〃" localSheetId="0">#REF!</definedName>
    <definedName name="A" localSheetId="16">#REF!</definedName>
    <definedName name="A" localSheetId="4">#REF!</definedName>
    <definedName name="A" localSheetId="0">#REF!</definedName>
    <definedName name="A">#REF!</definedName>
    <definedName name="A.1" localSheetId="16">#REF!</definedName>
    <definedName name="A.1">#REF!</definedName>
    <definedName name="A.2.i" localSheetId="16">#REF!</definedName>
    <definedName name="A.2.i">#REF!</definedName>
    <definedName name="A.5">#REF!</definedName>
    <definedName name="A.6.a">#REF!</definedName>
    <definedName name="A.6.b">#REF!</definedName>
    <definedName name="A.C.Pipe" localSheetId="4">#REF!</definedName>
    <definedName name="A.C.Pipe">#REF!</definedName>
    <definedName name="a\">#REF!</definedName>
    <definedName name="a___0">#REF!</definedName>
    <definedName name="a___13">#REF!</definedName>
    <definedName name="A0">#REF!</definedName>
    <definedName name="A01AC">#N/A</definedName>
    <definedName name="A01CAT">#N/A</definedName>
    <definedName name="A01CODE">#N/A</definedName>
    <definedName name="A01DATA">#N/A</definedName>
    <definedName name="A01MI">#N/A</definedName>
    <definedName name="A01TO">#N/A</definedName>
    <definedName name="A1_" localSheetId="16">#REF!</definedName>
    <definedName name="A1_" localSheetId="11">#REF!</definedName>
    <definedName name="A1_" localSheetId="12">#REF!</definedName>
    <definedName name="A1_" localSheetId="13">#REF!</definedName>
    <definedName name="A1_" localSheetId="14">#REF!</definedName>
    <definedName name="A1_" localSheetId="15">#REF!</definedName>
    <definedName name="A1_" localSheetId="10">#REF!</definedName>
    <definedName name="A1_" localSheetId="2">#REF!</definedName>
    <definedName name="A1_">#REF!</definedName>
    <definedName name="A1____0" localSheetId="16">#REF!</definedName>
    <definedName name="A1____0">#REF!</definedName>
    <definedName name="A1____13" localSheetId="16">#REF!</definedName>
    <definedName name="A1____13">#REF!</definedName>
    <definedName name="A10_">#REF!</definedName>
    <definedName name="A10____0">#REF!</definedName>
    <definedName name="A10____13">#REF!</definedName>
    <definedName name="A10000000">NA()</definedName>
    <definedName name="a1000000000000000_11">#REF!</definedName>
    <definedName name="a1000000000000000_12">#REF!</definedName>
    <definedName name="A1050000">NA()</definedName>
    <definedName name="A1090000">NA()</definedName>
    <definedName name="A1168Print_Area">#REF!</definedName>
    <definedName name="A13_" localSheetId="16">#REF!</definedName>
    <definedName name="A13_" localSheetId="11">#REF!</definedName>
    <definedName name="A13_" localSheetId="12">#REF!</definedName>
    <definedName name="A13_" localSheetId="13">#REF!</definedName>
    <definedName name="A13_" localSheetId="14">#REF!</definedName>
    <definedName name="A13_" localSheetId="15">#REF!</definedName>
    <definedName name="A13_" localSheetId="10">#REF!</definedName>
    <definedName name="A13_" localSheetId="2">#REF!</definedName>
    <definedName name="A13_">#REF!</definedName>
    <definedName name="A13____0" localSheetId="16">#REF!</definedName>
    <definedName name="A13____0">#REF!</definedName>
    <definedName name="A13____13">#REF!</definedName>
    <definedName name="A13__13">#REF!</definedName>
    <definedName name="A1367289">#REF!</definedName>
    <definedName name="A1M170">#REF!</definedName>
    <definedName name="A2_">#REF!</definedName>
    <definedName name="A2____0">#REF!</definedName>
    <definedName name="A2____13">#REF!</definedName>
    <definedName name="A216a352">#REF!</definedName>
    <definedName name="A3_">#REF!</definedName>
    <definedName name="A3____0">#REF!</definedName>
    <definedName name="A3____13">#REF!</definedName>
    <definedName name="A4_">#REF!</definedName>
    <definedName name="A4____0">#REF!</definedName>
    <definedName name="A4____13">#REF!</definedName>
    <definedName name="a45b45">#REF!</definedName>
    <definedName name="A5_">#REF!</definedName>
    <definedName name="A5____0">#REF!</definedName>
    <definedName name="A5____13">#REF!</definedName>
    <definedName name="A6_">#REF!</definedName>
    <definedName name="A6____0">#REF!</definedName>
    <definedName name="A6____13">#REF!</definedName>
    <definedName name="A65379A10">#REF!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 localSheetId="4">#REF!</definedName>
    <definedName name="AA" localSheetId="0">#REF!</definedName>
    <definedName name="aa">#REF!</definedName>
    <definedName name="aaa">#REF!</definedName>
    <definedName name="AAA5A">#REF!</definedName>
    <definedName name="aaaa">#REF!</definedName>
    <definedName name="aaaa5">#REF!</definedName>
    <definedName name="aaaa55">#REF!</definedName>
    <definedName name="AAAA56">#REF!</definedName>
    <definedName name="aaaa59">#REF!</definedName>
    <definedName name="aaaaa">#REF!</definedName>
    <definedName name="AAAAA5">#REF!</definedName>
    <definedName name="ab">#REF!</definedName>
    <definedName name="abc">'[20]AoR Finishing'!$J$309</definedName>
    <definedName name="abcd" localSheetId="16">#REF!</definedName>
    <definedName name="abcd" localSheetId="11">#REF!</definedName>
    <definedName name="abcd" localSheetId="12">#REF!</definedName>
    <definedName name="abcd" localSheetId="13">#REF!</definedName>
    <definedName name="abcd" localSheetId="14">#REF!</definedName>
    <definedName name="abcd" localSheetId="15">#REF!</definedName>
    <definedName name="abcd" localSheetId="10">#REF!</definedName>
    <definedName name="abcd" localSheetId="2">#REF!</definedName>
    <definedName name="abcd">#REF!</definedName>
    <definedName name="Abs" localSheetId="16" hidden="1">#REF!</definedName>
    <definedName name="Abs" localSheetId="4" hidden="1">#REF!</definedName>
    <definedName name="Abs" localSheetId="0" hidden="1">#REF!</definedName>
    <definedName name="Abs" hidden="1">#REF!</definedName>
    <definedName name="ABSSSS" localSheetId="16">#REF!</definedName>
    <definedName name="ABSSSS">#REF!</definedName>
    <definedName name="abstrac" hidden="1">#REF!</definedName>
    <definedName name="abstract" hidden="1">#REF!</definedName>
    <definedName name="abstract2" hidden="1">#REF!</definedName>
    <definedName name="ABSTRUCT">'[21]p&amp;m'!#REF!</definedName>
    <definedName name="Ac" localSheetId="16">#REF!</definedName>
    <definedName name="Ac" localSheetId="11">#REF!</definedName>
    <definedName name="Ac" localSheetId="12">#REF!</definedName>
    <definedName name="Ac" localSheetId="13">#REF!</definedName>
    <definedName name="Ac" localSheetId="14">#REF!</definedName>
    <definedName name="Ac" localSheetId="15">#REF!</definedName>
    <definedName name="Ac" localSheetId="10">#REF!</definedName>
    <definedName name="Ac" localSheetId="2">#REF!</definedName>
    <definedName name="Ac">#REF!</definedName>
    <definedName name="AC_disc" localSheetId="16">#REF!</definedName>
    <definedName name="AC_disc">#REF!</definedName>
    <definedName name="acab" localSheetId="16">#REF!</definedName>
    <definedName name="acab" localSheetId="4">#REF!</definedName>
    <definedName name="acab">#REF!</definedName>
    <definedName name="acab_1">#REF!</definedName>
    <definedName name="acab_16">#REF!</definedName>
    <definedName name="acab_16_1">#REF!</definedName>
    <definedName name="acab_17">#REF!</definedName>
    <definedName name="acab_17_1">#REF!</definedName>
    <definedName name="acab_18">#REF!</definedName>
    <definedName name="acab_18_1">#REF!</definedName>
    <definedName name="acab_19">#REF!</definedName>
    <definedName name="acab_19_1">#REF!</definedName>
    <definedName name="acab_4">#REF!</definedName>
    <definedName name="acab_4_1">#REF!</definedName>
    <definedName name="acab_5">#REF!</definedName>
    <definedName name="acab_5_1">#REF!</definedName>
    <definedName name="acab_6">#REF!</definedName>
    <definedName name="acab_6_1">#REF!</definedName>
    <definedName name="acab_7">#REF!</definedName>
    <definedName name="acab_7_1">#REF!</definedName>
    <definedName name="acab_8">#REF!</definedName>
    <definedName name="acab_8_1">#REF!</definedName>
    <definedName name="acab_9">#REF!</definedName>
    <definedName name="acab_9_1">#REF!</definedName>
    <definedName name="acabf">#REF!</definedName>
    <definedName name="acabl">#REF!</definedName>
    <definedName name="acBridge">#REF!</definedName>
    <definedName name="accab" localSheetId="4">#REF!</definedName>
    <definedName name="accab">#REF!</definedName>
    <definedName name="accab_1">#REF!</definedName>
    <definedName name="accab_16">#REF!</definedName>
    <definedName name="accab_16_1">#REF!</definedName>
    <definedName name="accab_17">#REF!</definedName>
    <definedName name="accab_17_1">#REF!</definedName>
    <definedName name="accab_18">#REF!</definedName>
    <definedName name="accab_18_1">#REF!</definedName>
    <definedName name="accab_19">#REF!</definedName>
    <definedName name="accab_19_1">#REF!</definedName>
    <definedName name="accab_4">#REF!</definedName>
    <definedName name="accab_4_1">#REF!</definedName>
    <definedName name="accab_5">#REF!</definedName>
    <definedName name="accab_5_1">#REF!</definedName>
    <definedName name="accab_6">#REF!</definedName>
    <definedName name="accab_6_1">#REF!</definedName>
    <definedName name="accab_7">#REF!</definedName>
    <definedName name="accab_7_1">#REF!</definedName>
    <definedName name="accab_8">#REF!</definedName>
    <definedName name="accab_8_1">#REF!</definedName>
    <definedName name="accab_9">#REF!</definedName>
    <definedName name="accab_9_1">#REF!</definedName>
    <definedName name="AcctName">#REF!</definedName>
    <definedName name="AcctPrio">#REF!</definedName>
    <definedName name="AcctPrio_Text">#REF!</definedName>
    <definedName name="acon" localSheetId="4">#REF!</definedName>
    <definedName name="acon">#REF!</definedName>
    <definedName name="acon_1">#REF!</definedName>
    <definedName name="acon_16">#REF!</definedName>
    <definedName name="acon_16_1">#REF!</definedName>
    <definedName name="acon_17">#REF!</definedName>
    <definedName name="acon_17_1">#REF!</definedName>
    <definedName name="acon_18">#REF!</definedName>
    <definedName name="acon_18_1">#REF!</definedName>
    <definedName name="acon_19">#REF!</definedName>
    <definedName name="acon_19_1">#REF!</definedName>
    <definedName name="acon_4">#REF!</definedName>
    <definedName name="acon_4_1">#REF!</definedName>
    <definedName name="acon_5">#REF!</definedName>
    <definedName name="acon_5_1">#REF!</definedName>
    <definedName name="acon_6">#REF!</definedName>
    <definedName name="acon_6_1">#REF!</definedName>
    <definedName name="acon_7">#REF!</definedName>
    <definedName name="acon_7_1">#REF!</definedName>
    <definedName name="acon_8">#REF!</definedName>
    <definedName name="acon_8_1">#REF!</definedName>
    <definedName name="acon_9">#REF!</definedName>
    <definedName name="acon_9_1">#REF!</definedName>
    <definedName name="act" localSheetId="4" hidden="1">#REF!</definedName>
    <definedName name="act" localSheetId="0" hidden="1">#REF!</definedName>
    <definedName name="ActCode">#REF!</definedName>
    <definedName name="ActPilot">#REF!</definedName>
    <definedName name="ActSignal">#REF!</definedName>
    <definedName name="ActType">#REF!</definedName>
    <definedName name="ActualCv">#REF!</definedName>
    <definedName name="ActualPress">#REF!</definedName>
    <definedName name="acv">#REF!</definedName>
    <definedName name="ad" localSheetId="16">[22]Boq!#REF!</definedName>
    <definedName name="ad">#REF!</definedName>
    <definedName name="ADD.STRUTT" localSheetId="16">#REF!</definedName>
    <definedName name="ADD.STRUTT" localSheetId="4">#REF!</definedName>
    <definedName name="ADD.STRUTT">#REF!</definedName>
    <definedName name="additional" localSheetId="16">#REF!</definedName>
    <definedName name="additional">#REF!</definedName>
    <definedName name="additional1" localSheetId="16">#REF!</definedName>
    <definedName name="additional1">#REF!</definedName>
    <definedName name="ADDITIONAL2">#REF!</definedName>
    <definedName name="Address">#REF!</definedName>
    <definedName name="ADFAS">#REF!</definedName>
    <definedName name="adfggs">#REF!</definedName>
    <definedName name="adg">#REF!</definedName>
    <definedName name="adj">#REF!</definedName>
    <definedName name="admn_off">#REF!</definedName>
    <definedName name="admn_site">#REF!</definedName>
    <definedName name="ads">#REF!</definedName>
    <definedName name="AE">#REF!</definedName>
    <definedName name="aea">#REF!</definedName>
    <definedName name="aec" localSheetId="4" hidden="1">#REF!</definedName>
    <definedName name="aec" localSheetId="0" hidden="1">#REF!</definedName>
    <definedName name="Ag" localSheetId="16">#REF!</definedName>
    <definedName name="Ag">#REF!</definedName>
    <definedName name="Ag___0" localSheetId="16">#REF!</definedName>
    <definedName name="Ag___0">#REF!</definedName>
    <definedName name="Ag___13">#REF!</definedName>
    <definedName name="AggregateBaseCourse">#REF!</definedName>
    <definedName name="AgreedTo">#REF!</definedName>
    <definedName name="ahf">#REF!</definedName>
    <definedName name="ahu">#REF!</definedName>
    <definedName name="AICC_Serv">#REF!</definedName>
    <definedName name="aiv">'[23]Detail In Door Stad'!#REF!</definedName>
    <definedName name="aiv_2">'[24]Detail In Door Stad'!#REF!</definedName>
    <definedName name="akhkgkas">#N/A</definedName>
    <definedName name="Alarm_current_Amp_In_Minutes" localSheetId="16">#REF!</definedName>
    <definedName name="Alarm_current_Amp_In_Minutes" localSheetId="11">#REF!</definedName>
    <definedName name="Alarm_current_Amp_In_Minutes" localSheetId="12">#REF!</definedName>
    <definedName name="Alarm_current_Amp_In_Minutes" localSheetId="13">#REF!</definedName>
    <definedName name="Alarm_current_Amp_In_Minutes" localSheetId="14">#REF!</definedName>
    <definedName name="Alarm_current_Amp_In_Minutes" localSheetId="15">#REF!</definedName>
    <definedName name="Alarm_current_Amp_In_Minutes" localSheetId="10">#REF!</definedName>
    <definedName name="Alarm_current_Amp_In_Minutes" localSheetId="2">#REF!</definedName>
    <definedName name="Alarm_current_Amp_In_Minutes">#REF!</definedName>
    <definedName name="AllPrice" localSheetId="2">#REF!</definedName>
    <definedName name="AllPrice">#REF!</definedName>
    <definedName name="alpha" localSheetId="16">#REF!</definedName>
    <definedName name="alpha">#REF!</definedName>
    <definedName name="ALPJYOU">#N/A</definedName>
    <definedName name="ALPTOI">#N/A</definedName>
    <definedName name="Aluminium_Work" localSheetId="16">#REF!</definedName>
    <definedName name="Aluminium_Work">#REF!</definedName>
    <definedName name="Aluminium_work.">#REF!</definedName>
    <definedName name="Alw" localSheetId="16">#REF!</definedName>
    <definedName name="Alw">#REF!</definedName>
    <definedName name="alwarsump">#REF!</definedName>
    <definedName name="AM">#REF!</definedName>
    <definedName name="Amen">13/100</definedName>
    <definedName name="AMP_CBL2">#N/A</definedName>
    <definedName name="AMP_CBL3">#N/A</definedName>
    <definedName name="analysis">'[21]p&amp;m'!#REF!</definedName>
    <definedName name="ann" localSheetId="16">#REF!</definedName>
    <definedName name="ann">#REF!</definedName>
    <definedName name="anne" localSheetId="16">#REF!</definedName>
    <definedName name="anne">#REF!</definedName>
    <definedName name="annealing" localSheetId="16">#REF!</definedName>
    <definedName name="annealing">#REF!</definedName>
    <definedName name="annealing1">#REF!</definedName>
    <definedName name="annealing1_9">"'file:///E:/Perlos/Revised%20Tender/Perlos%20R1%20With%20VAT%20Nil%20ED%20&amp;%20ST.xls'#$''.$G$4"</definedName>
    <definedName name="anscount" hidden="1">1</definedName>
    <definedName name="ANUSHIL">#REF!</definedName>
    <definedName name="AO" localSheetId="16">#REF!</definedName>
    <definedName name="AO" localSheetId="11">#REF!</definedName>
    <definedName name="AO" localSheetId="12">#REF!</definedName>
    <definedName name="AO" localSheetId="13">#REF!</definedName>
    <definedName name="AO" localSheetId="14">#REF!</definedName>
    <definedName name="AO" localSheetId="15">#REF!</definedName>
    <definedName name="AO" localSheetId="10">#REF!</definedName>
    <definedName name="AO" localSheetId="2">#REF!</definedName>
    <definedName name="AO">#REF!</definedName>
    <definedName name="app" localSheetId="2">'[7]Costing-blk-B'!#REF!</definedName>
    <definedName name="app">'[7]Costing-blk-B'!#REF!</definedName>
    <definedName name="app_type" localSheetId="16">#REF!</definedName>
    <definedName name="app_type" localSheetId="11">#REF!</definedName>
    <definedName name="app_type" localSheetId="12">#REF!</definedName>
    <definedName name="app_type" localSheetId="13">#REF!</definedName>
    <definedName name="app_type" localSheetId="14">#REF!</definedName>
    <definedName name="app_type" localSheetId="15">#REF!</definedName>
    <definedName name="app_type" localSheetId="10">#REF!</definedName>
    <definedName name="app_type" localSheetId="2">#REF!</definedName>
    <definedName name="app_type">#REF!</definedName>
    <definedName name="Appliance_discount" localSheetId="2">#REF!</definedName>
    <definedName name="Appliance_discount">#REF!</definedName>
    <definedName name="ar" localSheetId="4">#REF!</definedName>
    <definedName name="ar" localSheetId="0">#REF!</definedName>
    <definedName name="ar">#REF!</definedName>
    <definedName name="ARCHITECTURAL" localSheetId="16">#REF!</definedName>
    <definedName name="ARCHITECTURAL">#REF!</definedName>
    <definedName name="area" localSheetId="16" hidden="1">#REF!</definedName>
    <definedName name="area" hidden="1">#REF!</definedName>
    <definedName name="AREAS_CA_CANOPY__WAREHOUSE">#REF!</definedName>
    <definedName name="AREAS_CB_Canteen_Building">#REF!</definedName>
    <definedName name="AREAS_CIPT_Tanker_CIP_Shed">#REF!</definedName>
    <definedName name="AREAS_CLRR_Contract_Labour_Rest_Room">#REF!</definedName>
    <definedName name="AREAS_CS_Chemical_Store">#REF!</definedName>
    <definedName name="AREAS_ETPC_ETP_Civil_Works">#REF!</definedName>
    <definedName name="AREAS_EX_EXTERNAL_WORKS">#REF!</definedName>
    <definedName name="AREAS_FC_Farmer_s_Conference">#REF!</definedName>
    <definedName name="AREAS_FU_Fumigation">#REF!</definedName>
    <definedName name="AREAS_GA_General_Area___Overall">#REF!</definedName>
    <definedName name="AREAS_GP_Guard_Posts">#REF!</definedName>
    <definedName name="AREAS_LS_LubeOil_Stores">#REF!</definedName>
    <definedName name="AREAS_MR_TB_Milk_Reception_Tanker_s_Bay">#REF!</definedName>
    <definedName name="AREAS_MTF_Milk_Tank_Foundations">#REF!</definedName>
    <definedName name="AREAS_PB_PROCESS_BUILDING">#REF!</definedName>
    <definedName name="AREAS_PR_Pipe_Racks">#REF!</definedName>
    <definedName name="AREAS_SR_2_Security_Room___2">#REF!</definedName>
    <definedName name="AREAS_SR_3_Store_Room">#REF!</definedName>
    <definedName name="AREAS_ST_Stacks_near_Utility_Buildings">#REF!</definedName>
    <definedName name="AREAS_SY_Scrap_Yard">#REF!</definedName>
    <definedName name="AREAS_TWW_Truck_Wheel_Wash">#REF!</definedName>
    <definedName name="AREAS_TY_Transformer_Yard">#REF!</definedName>
    <definedName name="AREAS_UB_UTILITY_BLOCK">#REF!</definedName>
    <definedName name="AREAS_WH_Ware_House_Area">#REF!</definedName>
    <definedName name="ARM">#REF!</definedName>
    <definedName name="arp" localSheetId="16">'[9]col-reinft1'!#REF!</definedName>
    <definedName name="arp">#REF!</definedName>
    <definedName name="arun">'[24]A.O.R r1'!#REF!</definedName>
    <definedName name="as" localSheetId="16">#REF!</definedName>
    <definedName name="as" localSheetId="11">#REF!</definedName>
    <definedName name="as" localSheetId="12">#REF!</definedName>
    <definedName name="as" localSheetId="13">#REF!</definedName>
    <definedName name="as" localSheetId="14">#REF!</definedName>
    <definedName name="as" localSheetId="15">#REF!</definedName>
    <definedName name="as" localSheetId="10">#REF!</definedName>
    <definedName name="as" localSheetId="4" hidden="1">#REF!</definedName>
    <definedName name="as" localSheetId="0" hidden="1">#REF!</definedName>
    <definedName name="as">#REF!</definedName>
    <definedName name="AS_disc" localSheetId="16">#REF!</definedName>
    <definedName name="AS_disc">#REF!</definedName>
    <definedName name="ASA" localSheetId="16">#REF!</definedName>
    <definedName name="ASA">#REF!</definedName>
    <definedName name="asas" localSheetId="16">[22]Boq!#REF!</definedName>
    <definedName name="asas">[22]Boq!#REF!</definedName>
    <definedName name="asd" localSheetId="16">#REF!</definedName>
    <definedName name="asd">#REF!</definedName>
    <definedName name="ASDFJHGSDF" localSheetId="16">#REF!</definedName>
    <definedName name="ASDFJHGSDF">#REF!</definedName>
    <definedName name="asf">#REF!</definedName>
    <definedName name="ashldkhf" localSheetId="16">#REF!</definedName>
    <definedName name="ashldkhf">#REF!</definedName>
    <definedName name="ASHOKA">#REF!</definedName>
    <definedName name="asi" hidden="1">[11]A.O.R.!#REF!</definedName>
    <definedName name="asi." hidden="1">[11]A.O.R.!#REF!</definedName>
    <definedName name="asiy" hidden="1">[11]A.O.R.!#REF!</definedName>
    <definedName name="asiya" hidden="1">[11]A.O.R.!#REF!</definedName>
    <definedName name="AsphalticBaseCourse" localSheetId="16">#REF!</definedName>
    <definedName name="AsphalticBaseCourse">#REF!</definedName>
    <definedName name="asr">'[24]A.O.R r1Str'!#REF!</definedName>
    <definedName name="asre" localSheetId="16">#REF!</definedName>
    <definedName name="asre">#REF!</definedName>
    <definedName name="ass">'[25]Boq (Main Building)'!#REF!</definedName>
    <definedName name="ASSS">'[26]p&amp;m'!#REF!</definedName>
    <definedName name="asw">[11]A.O.R.!#REF!</definedName>
    <definedName name="ATC">#REF!</definedName>
    <definedName name="AUT">#REF!</definedName>
    <definedName name="auxlp">#REF!</definedName>
    <definedName name="axaxax" localSheetId="16">#REF!</definedName>
    <definedName name="axaxax">#REF!</definedName>
    <definedName name="Axs">'[27]p&amp;m'!#REF!</definedName>
    <definedName name="B" localSheetId="16">#REF!</definedName>
    <definedName name="B">#REF!</definedName>
    <definedName name="B.1" localSheetId="16">#REF!</definedName>
    <definedName name="B.1">#REF!</definedName>
    <definedName name="B.2">#REF!</definedName>
    <definedName name="B.4">#REF!</definedName>
    <definedName name="B.5">#REF!</definedName>
    <definedName name="B.6">#REF!</definedName>
    <definedName name="B.C1.3.6_40mm" localSheetId="4">#REF!</definedName>
    <definedName name="B.C1.3.6_40mm">#REF!</definedName>
    <definedName name="B.W.1.3_2.0" localSheetId="4">#REF!</definedName>
    <definedName name="B.W.1.3_2.0">#REF!</definedName>
    <definedName name="B.W.1.3_2.25" localSheetId="4">#REF!</definedName>
    <definedName name="B.W.1.3_2.25">#REF!</definedName>
    <definedName name="B.W.1.3_2.5" localSheetId="4">#REF!</definedName>
    <definedName name="B.W.1.3_2.5">#REF!</definedName>
    <definedName name="B.W.1.3_2.75" localSheetId="4">#REF!</definedName>
    <definedName name="B.W.1.3_2.75">#REF!</definedName>
    <definedName name="B.W.1.3_3" localSheetId="4">#REF!</definedName>
    <definedName name="B.W.1.3_3">#REF!</definedName>
    <definedName name="B.W.1.5_2.0" localSheetId="4">#REF!</definedName>
    <definedName name="B.W.1.5_2.0">#REF!</definedName>
    <definedName name="B.W.1.5_2.25" localSheetId="4">#REF!</definedName>
    <definedName name="B.W.1.5_2.25">#REF!</definedName>
    <definedName name="B.W.1.5_2.5" localSheetId="4">#REF!</definedName>
    <definedName name="B.W.1.5_2.5">#REF!</definedName>
    <definedName name="B.W.1.5_2.75" localSheetId="4">#REF!</definedName>
    <definedName name="B.W.1.5_2.75">#REF!</definedName>
    <definedName name="B.W.1.5_3" localSheetId="4">#REF!</definedName>
    <definedName name="B.W.1.5_3">#REF!</definedName>
    <definedName name="B.W.1.6_2.0" localSheetId="4">#REF!</definedName>
    <definedName name="B.W.1.6_2.0">#REF!</definedName>
    <definedName name="B.W.1.6_2.25" localSheetId="4">#REF!</definedName>
    <definedName name="B.W.1.6_2.25">#REF!</definedName>
    <definedName name="B.W.1.6_2.5" localSheetId="4">#REF!</definedName>
    <definedName name="B.W.1.6_2.5">#REF!</definedName>
    <definedName name="B.W.1.6_2.75" localSheetId="4">#REF!</definedName>
    <definedName name="B.W.1.6_2.75">#REF!</definedName>
    <definedName name="B.W.1.6_3" localSheetId="4">#REF!</definedName>
    <definedName name="B.W.1.6_3">#REF!</definedName>
    <definedName name="B.W.2.5_2.0">#REF!</definedName>
    <definedName name="B___0">#REF!</definedName>
    <definedName name="B___13">#REF!</definedName>
    <definedName name="B0">#REF!</definedName>
    <definedName name="B1200000">NA()</definedName>
    <definedName name="B608b106">#REF!</definedName>
    <definedName name="b6fv6fd" localSheetId="16">#REF!</definedName>
    <definedName name="b6fv6fd">#REF!</definedName>
    <definedName name="B857b291">#REF!</definedName>
    <definedName name="B9999999">NA()</definedName>
    <definedName name="BA" localSheetId="16">#REF!</definedName>
    <definedName name="BA" localSheetId="11">#REF!</definedName>
    <definedName name="BA" localSheetId="12">#REF!</definedName>
    <definedName name="BA" localSheetId="13">#REF!</definedName>
    <definedName name="BA" localSheetId="14">#REF!</definedName>
    <definedName name="BA" localSheetId="15">#REF!</definedName>
    <definedName name="BA" localSheetId="10">#REF!</definedName>
    <definedName name="BA" localSheetId="2">#REF!</definedName>
    <definedName name="BA">#REF!</definedName>
    <definedName name="baicstr" localSheetId="2">#REF!</definedName>
    <definedName name="baicstr">#REF!</definedName>
    <definedName name="bas" localSheetId="2">'[24]A.O.R r1Str'!#REF!</definedName>
    <definedName name="bas">'[24]A.O.R r1Str'!#REF!</definedName>
    <definedName name="BASE" localSheetId="16">#REF!</definedName>
    <definedName name="BASE">#REF!</definedName>
    <definedName name="BaseModel">#REF!</definedName>
    <definedName name="BaseModelPrice">#REF!</definedName>
    <definedName name="BasePrice">#REF!</definedName>
    <definedName name="basf" localSheetId="16">#REF!</definedName>
    <definedName name="basf">#REF!</definedName>
    <definedName name="basf1" localSheetId="16">#REF!</definedName>
    <definedName name="basf1">#REF!</definedName>
    <definedName name="basf11">#REF!</definedName>
    <definedName name="basi">#REF!</definedName>
    <definedName name="Basic">#REF!</definedName>
    <definedName name="Basic_amount">#REF!</definedName>
    <definedName name="Basic_Tower_A">#REF!</definedName>
    <definedName name="Basic5fini">#REF!</definedName>
    <definedName name="Basic5str">#REF!</definedName>
    <definedName name="Basic6fini">#REF!</definedName>
    <definedName name="Basic6str">#REF!</definedName>
    <definedName name="basicfin">#REF!</definedName>
    <definedName name="Basicoverall">#REF!</definedName>
    <definedName name="basistr">#REF!</definedName>
    <definedName name="Batching_hot_mix_plant">[5]SOR!#REF!</definedName>
    <definedName name="BAU">#REF!</definedName>
    <definedName name="bay" localSheetId="16">'[28]GR.slab-reinft'!#REF!</definedName>
    <definedName name="bay">#REF!</definedName>
    <definedName name="BB" localSheetId="16">#REF!</definedName>
    <definedName name="bb">#REF!</definedName>
    <definedName name="BBB" localSheetId="16">#REF!</definedName>
    <definedName name="BBB">#REF!</definedName>
    <definedName name="BBs" localSheetId="16">'[29]AoR Finishing'!#REF!</definedName>
    <definedName name="BBs">'[29]AoR Finishing'!#REF!</definedName>
    <definedName name="bc" localSheetId="16">#REF!</definedName>
    <definedName name="bc">#REF!</definedName>
    <definedName name="bca">#REF!</definedName>
    <definedName name="bcd">'[20]AoR Finishing'!$J$309</definedName>
    <definedName name="beam" localSheetId="16">#REF!</definedName>
    <definedName name="beam">#REF!</definedName>
    <definedName name="beam1" localSheetId="16">#REF!</definedName>
    <definedName name="beam1">#REF!</definedName>
    <definedName name="beam11" localSheetId="16">#REF!</definedName>
    <definedName name="beam11">#REF!</definedName>
    <definedName name="beam2">#REF!</definedName>
    <definedName name="BEAM3">#REF!</definedName>
    <definedName name="BEAM5">#REF!</definedName>
    <definedName name="BEAMS">#REF!</definedName>
    <definedName name="Beg_Bal">#REF!</definedName>
    <definedName name="BeginBorder">#REF!</definedName>
    <definedName name="BELL__Polarised">#REF!</definedName>
    <definedName name="beta" localSheetId="4" hidden="1">#REF!</definedName>
    <definedName name="beta" localSheetId="0" hidden="1">#REF!</definedName>
    <definedName name="beta">#REF!</definedName>
    <definedName name="bgljkb">[22]Boq!#REF!</definedName>
    <definedName name="Bhisti" localSheetId="16">#REF!</definedName>
    <definedName name="Bhisti">#REF!</definedName>
    <definedName name="Bid" localSheetId="4">#REF!</definedName>
    <definedName name="Bid" localSheetId="0">#REF!</definedName>
    <definedName name="BidClass">#REF!</definedName>
    <definedName name="BidClass_Text">#REF!</definedName>
    <definedName name="Bill">[19]Cal!$P$2:$Q$28</definedName>
    <definedName name="BillingFreq">#REF!</definedName>
    <definedName name="BillingTiming">#REF!</definedName>
    <definedName name="billto_add1" localSheetId="16">#REF!</definedName>
    <definedName name="billto_add1">#REF!</definedName>
    <definedName name="billto_add2" localSheetId="16">#REF!</definedName>
    <definedName name="billto_add2">#REF!</definedName>
    <definedName name="billto_citystatezip" localSheetId="16">#REF!</definedName>
    <definedName name="billto_citystatezip">#REF!</definedName>
    <definedName name="billto_contact">#REF!</definedName>
    <definedName name="billto_email">#REF!</definedName>
    <definedName name="billto_phone">#REF!</definedName>
    <definedName name="billtoemail">#REF!</definedName>
    <definedName name="Bitumen">#REF!</definedName>
    <definedName name="bitumen80_100">#REF!</definedName>
    <definedName name="bjlc">#REF!</definedName>
    <definedName name="BKJ">#N/A</definedName>
    <definedName name="bks">#REF!</definedName>
    <definedName name="Blacksmith">#REF!</definedName>
    <definedName name="blaster">#REF!</definedName>
    <definedName name="BldgQty" localSheetId="4">#REF!</definedName>
    <definedName name="BldgQty">#REF!</definedName>
    <definedName name="BldgQty_1">#REF!</definedName>
    <definedName name="BldgQty_16">#REF!</definedName>
    <definedName name="BldgQty_16_1">#REF!</definedName>
    <definedName name="BldgQty_17">#REF!</definedName>
    <definedName name="BldgQty_17_1">#REF!</definedName>
    <definedName name="BldgQty_18">#REF!</definedName>
    <definedName name="BldgQty_18_1">#REF!</definedName>
    <definedName name="BldgQty_19">#REF!</definedName>
    <definedName name="BldgQty_19_1">#REF!</definedName>
    <definedName name="BldgQty_4">#REF!</definedName>
    <definedName name="BldgQty_4_1">#REF!</definedName>
    <definedName name="BldgQty_5">#REF!</definedName>
    <definedName name="BldgQty_5_1">#REF!</definedName>
    <definedName name="BldgQty_6">#REF!</definedName>
    <definedName name="BldgQty_6_1">#REF!</definedName>
    <definedName name="BldgQty_7">#REF!</definedName>
    <definedName name="BldgQty_7_1">#REF!</definedName>
    <definedName name="BldgQty_8">#REF!</definedName>
    <definedName name="BldgQty_8_1">#REF!</definedName>
    <definedName name="BldgQty_9">#REF!</definedName>
    <definedName name="BldgQty_9_1">#REF!</definedName>
    <definedName name="blinds">#REF!</definedName>
    <definedName name="blocka">#REF!</definedName>
    <definedName name="blv_100">#REF!</definedName>
    <definedName name="blv_150">#REF!</definedName>
    <definedName name="blv_200">#REF!</definedName>
    <definedName name="blv_25">#REF!</definedName>
    <definedName name="blv_250">#REF!</definedName>
    <definedName name="blv_300">#REF!</definedName>
    <definedName name="blv_32">#REF!</definedName>
    <definedName name="blv_40">#REF!</definedName>
    <definedName name="blv_400">#REF!</definedName>
    <definedName name="blv_50">#REF!</definedName>
    <definedName name="blv_500">#REF!</definedName>
    <definedName name="blv_65">#REF!</definedName>
    <definedName name="blv_80">#REF!</definedName>
    <definedName name="bol">#REF!</definedName>
    <definedName name="bol_13">"$#REF!.$J$13"</definedName>
    <definedName name="bol_9">"'file:///E:/Perlos/Revised%20Tender/Perlos%20R1%20With%20VAT%20Nil%20ED%20&amp;%20ST.xls'#$''.$J$26"</definedName>
    <definedName name="bol1_9">"'file:///E:/Perlos/Revised%20Tender/Perlos%20R1%20With%20VAT%20Nil%20ED%20&amp;%20ST.xls'#$''.$J$26"</definedName>
    <definedName name="boml" localSheetId="16">#REF!</definedName>
    <definedName name="boml" localSheetId="11">#REF!</definedName>
    <definedName name="boml" localSheetId="12">#REF!</definedName>
    <definedName name="boml" localSheetId="13">#REF!</definedName>
    <definedName name="boml" localSheetId="14">#REF!</definedName>
    <definedName name="boml" localSheetId="15">#REF!</definedName>
    <definedName name="boml" localSheetId="10">#REF!</definedName>
    <definedName name="boml" localSheetId="2">#REF!</definedName>
    <definedName name="boml">#REF!</definedName>
    <definedName name="boml_13">"$#REF!.$J$12"</definedName>
    <definedName name="boml_9">"'file:///E:/Perlos/Revised%20Tender/Perlos%20R1%20With%20VAT%20Nil%20ED%20&amp;%20ST.xls'#$''.$J$25"</definedName>
    <definedName name="boml1">#REF!</definedName>
    <definedName name="BOQ" localSheetId="16">#REF!</definedName>
    <definedName name="BOQ">#REF!</definedName>
    <definedName name="boring">#REF!</definedName>
    <definedName name="bot_line_amount">#REF!</definedName>
    <definedName name="bot_line_message">#REF!</definedName>
    <definedName name="botc" localSheetId="16">'[28]GR.slab-reinft'!#REF!</definedName>
    <definedName name="botc">#REF!</definedName>
    <definedName name="botl" localSheetId="16">#REF!</definedName>
    <definedName name="botl" localSheetId="11">#REF!</definedName>
    <definedName name="botl" localSheetId="12">#REF!</definedName>
    <definedName name="botl" localSheetId="13">#REF!</definedName>
    <definedName name="botl" localSheetId="14">#REF!</definedName>
    <definedName name="botl" localSheetId="15">#REF!</definedName>
    <definedName name="botl" localSheetId="10">#REF!</definedName>
    <definedName name="botl" localSheetId="2">#REF!</definedName>
    <definedName name="botl">#REF!</definedName>
    <definedName name="botl_13">"$#REF!.$J$13"</definedName>
    <definedName name="botl_9">"'file:///E:/Perlos/Revised%20Tender/Perlos%20R1%20With%20VAT%20Nil%20ED%20&amp;%20ST.xls'#$''.$J$26"</definedName>
    <definedName name="botl1">#REF!</definedName>
    <definedName name="botn" localSheetId="16">#REF!</definedName>
    <definedName name="botn" localSheetId="11">#REF!</definedName>
    <definedName name="botn" localSheetId="12">#REF!</definedName>
    <definedName name="botn" localSheetId="13">#REF!</definedName>
    <definedName name="botn" localSheetId="14">#REF!</definedName>
    <definedName name="botn" localSheetId="15">#REF!</definedName>
    <definedName name="botn" localSheetId="10">#REF!</definedName>
    <definedName name="botn" localSheetId="2">#REF!</definedName>
    <definedName name="botn">#REF!</definedName>
    <definedName name="botn_13">"$#REF!.$J$12"</definedName>
    <definedName name="botn_9">"'file:///E:/Perlos/Revised%20Tender/Perlos%20R1%20With%20VAT%20Nil%20ED%20&amp;%20ST.xls'#$''.$J$25"</definedName>
    <definedName name="boulder">#REF!</definedName>
    <definedName name="box_speaker" localSheetId="16">#REF!</definedName>
    <definedName name="box_speaker" localSheetId="11">#REF!</definedName>
    <definedName name="box_speaker" localSheetId="12">#REF!</definedName>
    <definedName name="box_speaker" localSheetId="13">#REF!</definedName>
    <definedName name="box_speaker" localSheetId="14">#REF!</definedName>
    <definedName name="box_speaker" localSheetId="15">#REF!</definedName>
    <definedName name="box_speaker" localSheetId="10">#REF!</definedName>
    <definedName name="box_speaker" localSheetId="2">#REF!</definedName>
    <definedName name="box_speaker">#REF!</definedName>
    <definedName name="Br.Par_2.0" localSheetId="16">#REF!</definedName>
    <definedName name="Br.Par_2.0" localSheetId="4">#REF!</definedName>
    <definedName name="Br.Par_2.0">#REF!</definedName>
    <definedName name="Br.Par_2.25" localSheetId="4">#REF!</definedName>
    <definedName name="Br.Par_2.25">#REF!</definedName>
    <definedName name="Br.Par_2.50" localSheetId="4">#REF!</definedName>
    <definedName name="Br.Par_2.50">#REF!</definedName>
    <definedName name="Br.Par_2.75" localSheetId="4">#REF!</definedName>
    <definedName name="Br.Par_2.75">#REF!</definedName>
    <definedName name="Br.Par_3.0" localSheetId="4">#REF!</definedName>
    <definedName name="Br.Par_3.0">#REF!</definedName>
    <definedName name="Breaks">#REF!</definedName>
    <definedName name="Breaks_9">"'file:///E:/Perlos/Revised%20Tender/Perlos%20R1%20With%20VAT%20Nil%20ED%20&amp;%20ST.xls'#$''.$I$17"</definedName>
    <definedName name="Breakup">#REF!</definedName>
    <definedName name="Brick_Size">#REF!</definedName>
    <definedName name="bricks">#REF!</definedName>
    <definedName name="BRICKWORK">[30]A.O.R.!#REF!</definedName>
    <definedName name="brickwork.">[30]A.O.R.!#REF!</definedName>
    <definedName name="bs" localSheetId="16">#REF!</definedName>
    <definedName name="bs">#REF!</definedName>
    <definedName name="bsc">'[24]A.O.R r1Str'!#REF!</definedName>
    <definedName name="bsec1" localSheetId="16">#REF!</definedName>
    <definedName name="bsec1">#REF!</definedName>
    <definedName name="BSEC11" localSheetId="16">#REF!</definedName>
    <definedName name="BSEC11">#REF!</definedName>
    <definedName name="BSEC12" localSheetId="16">#REF!</definedName>
    <definedName name="BSEC12">#REF!</definedName>
    <definedName name="bsec2">#REF!</definedName>
    <definedName name="bsec22">#REF!</definedName>
    <definedName name="bsec3">#REF!</definedName>
    <definedName name="BSEC31">#REF!</definedName>
    <definedName name="bsec33">#REF!</definedName>
    <definedName name="bsec35">#REF!</definedName>
    <definedName name="bsec4">#REF!</definedName>
    <definedName name="bsec44">#REF!</definedName>
    <definedName name="bsec45">#REF!</definedName>
    <definedName name="bsec5">#REF!</definedName>
    <definedName name="BSEC56">#REF!</definedName>
    <definedName name="bsec6">#REF!</definedName>
    <definedName name="bsec66">#REF!</definedName>
    <definedName name="BSEC67">#REF!</definedName>
    <definedName name="BSEC7">#REF!</definedName>
    <definedName name="btf">#REF!</definedName>
    <definedName name="btuf">#REF!</definedName>
    <definedName name="bua">#REF!</definedName>
    <definedName name="bua_13">"$#REF!.$D$1"</definedName>
    <definedName name="bua_9">"'file:///E:/Perlos/Revised%20Tender/Perlos%20R1%20With%20VAT%20Nil%20ED%20&amp;%20ST.xls'#$''.$D$5"</definedName>
    <definedName name="BUDDHA" localSheetId="16">#REF!</definedName>
    <definedName name="BUDDHA" localSheetId="11">#REF!</definedName>
    <definedName name="BUDDHA" localSheetId="12">#REF!</definedName>
    <definedName name="BUDDHA" localSheetId="13">#REF!</definedName>
    <definedName name="BUDDHA" localSheetId="14">#REF!</definedName>
    <definedName name="BUDDHA" localSheetId="15">#REF!</definedName>
    <definedName name="BUDDHA" localSheetId="10">#REF!</definedName>
    <definedName name="BUDDHA" localSheetId="2">#REF!</definedName>
    <definedName name="BUDDHA">#REF!</definedName>
    <definedName name="building" localSheetId="16">#REF!</definedName>
    <definedName name="building">#REF!</definedName>
    <definedName name="building___0" localSheetId="16">#REF!</definedName>
    <definedName name="building___0">#REF!</definedName>
    <definedName name="building___11">#REF!</definedName>
    <definedName name="building___12">#REF!</definedName>
    <definedName name="BuiltIn_Print_Area" localSheetId="4">#REF!</definedName>
    <definedName name="BuiltIn_Print_Area" localSheetId="0">#REF!</definedName>
    <definedName name="BuiltIn_Print_Area">#REF!</definedName>
    <definedName name="BuiltIn_Print_Area___0">#REF!</definedName>
    <definedName name="BuiltIn_Print_Area___0___0" localSheetId="4">#REF!</definedName>
    <definedName name="BuiltIn_Print_Area___0___0" localSheetId="0">#REF!</definedName>
    <definedName name="BuiltIn_Print_Titles" localSheetId="4">#REF!</definedName>
    <definedName name="BuiltIn_Print_Titles" localSheetId="0">#REF!</definedName>
    <definedName name="BuiltIn_Print_Titles">#REF!</definedName>
    <definedName name="BuiltIn_Print_Titles___0">#N/A</definedName>
    <definedName name="BuiltIn_Print_Titles___0___0" localSheetId="4">#REF!</definedName>
    <definedName name="BuiltIn_Print_Titles___0___0" localSheetId="0">#REF!</definedName>
    <definedName name="builtup">'[31]Detailed Summary (4)'!$D$6</definedName>
    <definedName name="bul">'[31]Boq Block A'!#REF!</definedName>
    <definedName name="bulkbitumen" localSheetId="16">#REF!</definedName>
    <definedName name="bulkbitumen">#REF!</definedName>
    <definedName name="BusType">#REF!</definedName>
    <definedName name="BusType_Text">#REF!</definedName>
    <definedName name="Bx" localSheetId="16">#REF!</definedName>
    <definedName name="Bx" localSheetId="11">#REF!</definedName>
    <definedName name="Bx" localSheetId="12">#REF!</definedName>
    <definedName name="Bx" localSheetId="13">#REF!</definedName>
    <definedName name="Bx" localSheetId="14">#REF!</definedName>
    <definedName name="Bx" localSheetId="15">#REF!</definedName>
    <definedName name="Bx" localSheetId="10">#REF!</definedName>
    <definedName name="Bx">#REF!</definedName>
    <definedName name="Bx___0" localSheetId="16">#REF!</definedName>
    <definedName name="Bx___0" localSheetId="11">#REF!</definedName>
    <definedName name="Bx___0" localSheetId="12">#REF!</definedName>
    <definedName name="Bx___0" localSheetId="13">#REF!</definedName>
    <definedName name="Bx___0" localSheetId="14">#REF!</definedName>
    <definedName name="Bx___0" localSheetId="15">#REF!</definedName>
    <definedName name="Bx___0" localSheetId="10">#REF!</definedName>
    <definedName name="Bx___0">#REF!</definedName>
    <definedName name="Bx___13" localSheetId="11">#REF!</definedName>
    <definedName name="Bx___13" localSheetId="12">#REF!</definedName>
    <definedName name="Bx___13" localSheetId="13">#REF!</definedName>
    <definedName name="Bx___13" localSheetId="14">#REF!</definedName>
    <definedName name="Bx___13" localSheetId="15">#REF!</definedName>
    <definedName name="Bx___13" localSheetId="10">#REF!</definedName>
    <definedName name="Bx___13">#REF!</definedName>
    <definedName name="bxevxed">#REF!</definedName>
    <definedName name="bxn">#REF!</definedName>
    <definedName name="bxnvxnd">#REF!</definedName>
    <definedName name="C.1">#REF!</definedName>
    <definedName name="C.C.">[30]A.O.R.!#REF!</definedName>
    <definedName name="C.L.WALL" localSheetId="16">#REF!</definedName>
    <definedName name="C.L.WALL">#REF!</definedName>
    <definedName name="C.M.1.1" localSheetId="16">#REF!</definedName>
    <definedName name="C.M.1.1" localSheetId="4">#REF!</definedName>
    <definedName name="C.M.1.1">#REF!</definedName>
    <definedName name="C.M.1.1.5" localSheetId="16">#REF!</definedName>
    <definedName name="C.M.1.1.5" localSheetId="4">#REF!</definedName>
    <definedName name="C.M.1.1.5">#REF!</definedName>
    <definedName name="C.S.WALL">#REF!</definedName>
    <definedName name="C.W">#N/A</definedName>
    <definedName name="C_">#N/A</definedName>
    <definedName name="ca_status">#REF!</definedName>
    <definedName name="cab">#REF!</definedName>
    <definedName name="cab21.5tp" localSheetId="16">#REF!</definedName>
    <definedName name="cab21.5tp">#REF!</definedName>
    <definedName name="cab21s" localSheetId="16">#REF!</definedName>
    <definedName name="cab21s">#REF!</definedName>
    <definedName name="cab21us" localSheetId="16">#REF!</definedName>
    <definedName name="cab21us">#REF!</definedName>
    <definedName name="cab31s">#REF!</definedName>
    <definedName name="cab31us">#REF!</definedName>
    <definedName name="cab41s">#REF!</definedName>
    <definedName name="cab41us">#REF!</definedName>
    <definedName name="caba">#REF!</definedName>
    <definedName name="cabd" localSheetId="4">#REF!</definedName>
    <definedName name="cabd">#REF!</definedName>
    <definedName name="cabd_1">#REF!</definedName>
    <definedName name="cabd_16">#REF!</definedName>
    <definedName name="cabd_16_1">#REF!</definedName>
    <definedName name="cabd_17">#REF!</definedName>
    <definedName name="cabd_17_1">#REF!</definedName>
    <definedName name="cabd_18">#REF!</definedName>
    <definedName name="cabd_18_1">#REF!</definedName>
    <definedName name="cabd_19">#REF!</definedName>
    <definedName name="cabd_19_1">#REF!</definedName>
    <definedName name="cabd_4">#REF!</definedName>
    <definedName name="cabd_4_1">#REF!</definedName>
    <definedName name="cabd_5">#REF!</definedName>
    <definedName name="cabd_5_1">#REF!</definedName>
    <definedName name="cabd_6">#REF!</definedName>
    <definedName name="cabd_6_1">#REF!</definedName>
    <definedName name="cabd_7">#REF!</definedName>
    <definedName name="cabd_7_1">#REF!</definedName>
    <definedName name="cabd_8">#REF!</definedName>
    <definedName name="cabd_8_1">#REF!</definedName>
    <definedName name="cabd_9">#REF!</definedName>
    <definedName name="cabd_9_1">#REF!</definedName>
    <definedName name="cabf" localSheetId="4">#REF!</definedName>
    <definedName name="cabf">#REF!</definedName>
    <definedName name="cabf_1">#REF!</definedName>
    <definedName name="cabf_16">#REF!</definedName>
    <definedName name="cabf_16_1">#REF!</definedName>
    <definedName name="cabf_17">#REF!</definedName>
    <definedName name="cabf_17_1">#REF!</definedName>
    <definedName name="cabf_18">#REF!</definedName>
    <definedName name="cabf_18_1">#REF!</definedName>
    <definedName name="cabf_19">#REF!</definedName>
    <definedName name="cabf_19_1">#REF!</definedName>
    <definedName name="cabf_4">#REF!</definedName>
    <definedName name="cabf_4_1">#REF!</definedName>
    <definedName name="cabf_5">#REF!</definedName>
    <definedName name="cabf_5_1">#REF!</definedName>
    <definedName name="cabf_6">#REF!</definedName>
    <definedName name="cabf_6_1">#REF!</definedName>
    <definedName name="cabf_7">#REF!</definedName>
    <definedName name="cabf_7_1">#REF!</definedName>
    <definedName name="cabf_8">#REF!</definedName>
    <definedName name="cabf_8_1">#REF!</definedName>
    <definedName name="cabf_9">#REF!</definedName>
    <definedName name="cabf_9_1">#REF!</definedName>
    <definedName name="cabinet" localSheetId="4">#REF!</definedName>
    <definedName name="cabinet">#REF!</definedName>
    <definedName name="cabl">#REF!</definedName>
    <definedName name="CABLE">#REF!</definedName>
    <definedName name="CAFE">#REF!</definedName>
    <definedName name="cald" localSheetId="4">#REF!</definedName>
    <definedName name="cald">#REF!</definedName>
    <definedName name="cald_1">#REF!</definedName>
    <definedName name="cald_16">#REF!</definedName>
    <definedName name="cald_16_1">#REF!</definedName>
    <definedName name="cald_17">#REF!</definedName>
    <definedName name="cald_17_1">#REF!</definedName>
    <definedName name="cald_18">#REF!</definedName>
    <definedName name="cald_18_1">#REF!</definedName>
    <definedName name="cald_19">#REF!</definedName>
    <definedName name="cald_19_1">#REF!</definedName>
    <definedName name="cald_4">#REF!</definedName>
    <definedName name="cald_4_1">#REF!</definedName>
    <definedName name="cald_5">#REF!</definedName>
    <definedName name="cald_5_1">#REF!</definedName>
    <definedName name="cald_6">#REF!</definedName>
    <definedName name="cald_6_1">#REF!</definedName>
    <definedName name="cald_7">#REF!</definedName>
    <definedName name="cald_7_1">#REF!</definedName>
    <definedName name="cald_8">#REF!</definedName>
    <definedName name="cald_8_1">#REF!</definedName>
    <definedName name="cald_9">#REF!</definedName>
    <definedName name="cald_9_1">#REF!</definedName>
    <definedName name="CALf">#REF!</definedName>
    <definedName name="Calibration_Rate">#REF!</definedName>
    <definedName name="CALIMP" localSheetId="16">[32]factors!#REF!</definedName>
    <definedName name="CALIMP" localSheetId="4">[32]factors!#REF!</definedName>
    <definedName name="CALIMP">[32]factors!#REF!</definedName>
    <definedName name="CALIMP_1">[33]factors!#REF!</definedName>
    <definedName name="CALIMP_16">[33]factors!#REF!</definedName>
    <definedName name="CALIMP_16_1">[34]factors!#REF!</definedName>
    <definedName name="CALIMP_17">[34]factors!#REF!</definedName>
    <definedName name="CALIMP_17_1">[34]factors!#REF!</definedName>
    <definedName name="CALIMP_18">[34]factors!#REF!</definedName>
    <definedName name="CALIMP_18_1">[34]factors!#REF!</definedName>
    <definedName name="CALIMP_19">[34]factors!#REF!</definedName>
    <definedName name="CALIMP_19_1">[34]factors!#REF!</definedName>
    <definedName name="CALIMP_4">[34]factors!#REF!</definedName>
    <definedName name="CALIMP_4_1">[34]factors!#REF!</definedName>
    <definedName name="CALIMP_5">[34]factors!#REF!</definedName>
    <definedName name="CALIMP_5_1">[34]factors!#REF!</definedName>
    <definedName name="CALIMP_6">[34]factors!#REF!</definedName>
    <definedName name="CALIMP_6_1">[34]factors!#REF!</definedName>
    <definedName name="CALIMP_7">[34]factors!#REF!</definedName>
    <definedName name="CALIMP_7_1">[34]factors!#REF!</definedName>
    <definedName name="CALIMP_8">[34]factors!#REF!</definedName>
    <definedName name="CALIMP_8_1">[34]factors!#REF!</definedName>
    <definedName name="CALIMP_9">[34]factors!#REF!</definedName>
    <definedName name="CALIMP_9_1">[34]factors!#REF!</definedName>
    <definedName name="cant" localSheetId="16">'[33]Staff Acco.'!#REF!</definedName>
    <definedName name="cant">#REF!</definedName>
    <definedName name="cap" localSheetId="16">#REF!</definedName>
    <definedName name="cap">#REF!</definedName>
    <definedName name="Capacities">#REF!</definedName>
    <definedName name="capital" localSheetId="16">#REF!</definedName>
    <definedName name="capital">#REF!</definedName>
    <definedName name="CardReaderInd400">#REF!</definedName>
    <definedName name="carpet" localSheetId="16">#REF!</definedName>
    <definedName name="carpet" localSheetId="11">#REF!</definedName>
    <definedName name="carpet" localSheetId="12">#REF!</definedName>
    <definedName name="carpet" localSheetId="13">#REF!</definedName>
    <definedName name="carpet" localSheetId="14">#REF!</definedName>
    <definedName name="carpet" localSheetId="15">#REF!</definedName>
    <definedName name="carpet" localSheetId="10">#REF!</definedName>
    <definedName name="carpet">#REF!</definedName>
    <definedName name="carpet___0" localSheetId="16">#REF!</definedName>
    <definedName name="carpet___0" localSheetId="11">#REF!</definedName>
    <definedName name="carpet___0" localSheetId="12">#REF!</definedName>
    <definedName name="carpet___0" localSheetId="13">#REF!</definedName>
    <definedName name="carpet___0" localSheetId="14">#REF!</definedName>
    <definedName name="carpet___0" localSheetId="15">#REF!</definedName>
    <definedName name="carpet___0" localSheetId="10">#REF!</definedName>
    <definedName name="carpet___0">#REF!</definedName>
    <definedName name="carpet___11" localSheetId="16">#REF!</definedName>
    <definedName name="carpet___11" localSheetId="11">#REF!</definedName>
    <definedName name="carpet___11" localSheetId="12">#REF!</definedName>
    <definedName name="carpet___11" localSheetId="13">#REF!</definedName>
    <definedName name="carpet___11" localSheetId="14">#REF!</definedName>
    <definedName name="carpet___11" localSheetId="15">#REF!</definedName>
    <definedName name="carpet___11" localSheetId="10">#REF!</definedName>
    <definedName name="carpet___11">#REF!</definedName>
    <definedName name="carpet___12">#REF!</definedName>
    <definedName name="CARPI">[34]Sheet1!#REF!</definedName>
    <definedName name="cash_bank" localSheetId="16">#REF!</definedName>
    <definedName name="cash_bank">#REF!</definedName>
    <definedName name="cass">#REF!</definedName>
    <definedName name="CatEyes" localSheetId="16">#REF!</definedName>
    <definedName name="CatEyes">#REF!</definedName>
    <definedName name="CATJYOU">#N/A</definedName>
    <definedName name="CATREC">#N/A</definedName>
    <definedName name="CATSYU">#N/A</definedName>
    <definedName name="Caw">0.45-0.11</definedName>
    <definedName name="cbas">'[24]A.O.R r1'!#REF!</definedName>
    <definedName name="Cbasic">'[24]A.O.R r1'!#REF!</definedName>
    <definedName name="cbgl1" localSheetId="16">#REF!</definedName>
    <definedName name="cbgl1">#REF!</definedName>
    <definedName name="cbgl2" localSheetId="16">#REF!</definedName>
    <definedName name="cbgl2">#REF!</definedName>
    <definedName name="cbgl3" localSheetId="16">#REF!</definedName>
    <definedName name="cbgl3">#REF!</definedName>
    <definedName name="cbgl4">#REF!</definedName>
    <definedName name="cbtf">#REF!</definedName>
    <definedName name="CC">#REF!</definedName>
    <definedName name="cca">#REF!</definedName>
    <definedName name="CCC">'[35]TBAL9697 -group wise  sdpl'!$A$214</definedName>
    <definedName name="cccc">'[36]TBAL9697 -group wise  sdpl'!$A$34</definedName>
    <definedName name="cchf">#REF!</definedName>
    <definedName name="ccolagl" localSheetId="16">#REF!</definedName>
    <definedName name="ccolagl">#REF!</definedName>
    <definedName name="ccsf">#REF!</definedName>
    <definedName name="CCT">#REF!</definedName>
    <definedName name="ccv">#REF!</definedName>
    <definedName name="CCXV" localSheetId="16">#REF!</definedName>
    <definedName name="CCXV">#REF!</definedName>
    <definedName name="cdf" localSheetId="16">#REF!</definedName>
    <definedName name="cdf">#REF!</definedName>
    <definedName name="CDWSSM">[37]R2!$H$21:$H$27</definedName>
    <definedName name="CDWSSP">[37]R2!$I$21:$I$27</definedName>
    <definedName name="CEC" localSheetId="16">#REF!</definedName>
    <definedName name="CEC">#REF!</definedName>
    <definedName name="Ceiling_speaker" localSheetId="16">#REF!</definedName>
    <definedName name="Ceiling_speaker">#REF!</definedName>
    <definedName name="Ceiling_Speaker_Unsupervised" localSheetId="16">#REF!</definedName>
    <definedName name="Ceiling_Speaker_Unsupervised">#REF!</definedName>
    <definedName name="cem">190</definedName>
    <definedName name="Cement">#REF!</definedName>
    <definedName name="cement_mortar">#REF!</definedName>
    <definedName name="Cement_Paint" localSheetId="16">#REF!</definedName>
    <definedName name="Cement_Paint" localSheetId="4">#REF!</definedName>
    <definedName name="Cement_Paint">#REF!</definedName>
    <definedName name="CENTERING" localSheetId="4">#REF!</definedName>
    <definedName name="CENTERING">#REF!</definedName>
    <definedName name="cer">#REF!</definedName>
    <definedName name="cf">[1]gen!$J$1</definedName>
    <definedName name="cfb" localSheetId="16">#REF!</definedName>
    <definedName name="cfb">#REF!</definedName>
    <definedName name="cfbeams" localSheetId="16">#REF!</definedName>
    <definedName name="cfbeams">#REF!</definedName>
    <definedName name="cfsalb" localSheetId="16">#REF!</definedName>
    <definedName name="cfsalb">#REF!</definedName>
    <definedName name="cfslab">#REF!</definedName>
    <definedName name="ch_area1">[38]Config!$F$73</definedName>
    <definedName name="ch_area2">[38]Config!$I$73</definedName>
    <definedName name="ch_area3">[38]Config!$L$73</definedName>
    <definedName name="ch_area4">[38]Config!$O$73</definedName>
    <definedName name="chairs" localSheetId="16">#REF!</definedName>
    <definedName name="chairs" localSheetId="11">#REF!</definedName>
    <definedName name="chairs" localSheetId="12">#REF!</definedName>
    <definedName name="chairs" localSheetId="13">#REF!</definedName>
    <definedName name="chairs" localSheetId="14">#REF!</definedName>
    <definedName name="chairs" localSheetId="15">#REF!</definedName>
    <definedName name="chairs" localSheetId="10">#REF!</definedName>
    <definedName name="chairs" localSheetId="2">#REF!</definedName>
    <definedName name="chairs">#REF!</definedName>
    <definedName name="CHAIRSSOFA" localSheetId="16">#REF!</definedName>
    <definedName name="CHAIRSSOFA">#REF!</definedName>
    <definedName name="ChangeBy">#REF!</definedName>
    <definedName name="ChangeDate">#REF!</definedName>
    <definedName name="Charges_of_road_roller" localSheetId="16">[5]SOR!#REF!</definedName>
    <definedName name="Charges_of_road_roller">[5]SOR!#REF!</definedName>
    <definedName name="check" localSheetId="16">#REF!</definedName>
    <definedName name="check">#REF!</definedName>
    <definedName name="CHECK12" localSheetId="16">#REF!</definedName>
    <definedName name="CHECK12">#REF!</definedName>
    <definedName name="check22" localSheetId="16">'[13]foot-slab reinft'!#REF!</definedName>
    <definedName name="check22">#REF!</definedName>
    <definedName name="checked" localSheetId="16">#REF!</definedName>
    <definedName name="checked" localSheetId="11">#REF!</definedName>
    <definedName name="checked" localSheetId="12">#REF!</definedName>
    <definedName name="checked" localSheetId="13">#REF!</definedName>
    <definedName name="checked" localSheetId="14">#REF!</definedName>
    <definedName name="checked" localSheetId="15">#REF!</definedName>
    <definedName name="checked" localSheetId="10">#REF!</definedName>
    <definedName name="checked" localSheetId="2">#REF!</definedName>
    <definedName name="checked">#REF!</definedName>
    <definedName name="chf">#REF!</definedName>
    <definedName name="chfinr">#REF!</definedName>
    <definedName name="chiller" localSheetId="16">#REF!</definedName>
    <definedName name="chiller">#REF!</definedName>
    <definedName name="cici" localSheetId="16">#REF!</definedName>
    <definedName name="cici">#REF!</definedName>
    <definedName name="cici1">#REF!</definedName>
    <definedName name="cicncd">'[24]A.O.R (2)'!#REF!</definedName>
    <definedName name="CIF_ABB_Imp">#REF!</definedName>
    <definedName name="CIF_ABB_local">#REF!</definedName>
    <definedName name="CIF_ABB_peenya">#REF!</definedName>
    <definedName name="CIF_AIC_Imp">#REF!</definedName>
    <definedName name="CIF_AIC_local">#REF!</definedName>
    <definedName name="CIF_NonABB_Imp">#REF!</definedName>
    <definedName name="CIF_NonABB_local">#REF!</definedName>
    <definedName name="ciff">#REF!</definedName>
    <definedName name="cikkk">'[21]p&amp;m'!#REF!</definedName>
    <definedName name="City" localSheetId="16">#REF!</definedName>
    <definedName name="City">#REF!</definedName>
    <definedName name="civil" localSheetId="16">#REF!</definedName>
    <definedName name="civil">#REF!</definedName>
    <definedName name="Civil_Basic" localSheetId="16">[39]AOR!#REF!</definedName>
    <definedName name="Civil_Basic">[39]AOR!#REF!</definedName>
    <definedName name="CIVIL_WORKS" localSheetId="16">#REF!</definedName>
    <definedName name="CIVIL_WORKS">#REF!</definedName>
    <definedName name="CivilBasic" localSheetId="16">#REF!</definedName>
    <definedName name="CivilBasic">#REF!</definedName>
    <definedName name="civilbasic1" localSheetId="16">'[24]A.O.R (2)'!#REF!</definedName>
    <definedName name="civilbasic1">'[24]A.O.R (2)'!#REF!</definedName>
    <definedName name="ckeck1" localSheetId="16">#REF!</definedName>
    <definedName name="ckeck1">#REF!</definedName>
    <definedName name="ckeck11" localSheetId="16">[13]concrete!#REF!</definedName>
    <definedName name="ckeck11">#REF!</definedName>
    <definedName name="CKECK12" localSheetId="16">[18]concrete!#REF!</definedName>
    <definedName name="CKECK12">#REF!</definedName>
    <definedName name="ckk" localSheetId="16">#REF!</definedName>
    <definedName name="ckk">#REF!</definedName>
    <definedName name="cl">200</definedName>
    <definedName name="ClearingAndGrubbing" localSheetId="16">#REF!</definedName>
    <definedName name="ClearingAndGrubbing">#REF!</definedName>
    <definedName name="CleintEmail">#REF!</definedName>
    <definedName name="CLIENT" localSheetId="16">#REF!</definedName>
    <definedName name="CLIENT">#REF!</definedName>
    <definedName name="ClientAddress1">#REF!</definedName>
    <definedName name="ClientAddress2">#REF!</definedName>
    <definedName name="ClientCity">#REF!</definedName>
    <definedName name="ClientComp0">#REF!</definedName>
    <definedName name="ClientCompany">#REF!</definedName>
    <definedName name="ClientCountry">#REF!</definedName>
    <definedName name="ClientEmail">#REF!</definedName>
    <definedName name="ClientFax">#REF!</definedName>
    <definedName name="ClientLand">#REF!</definedName>
    <definedName name="ClientName">#REF!</definedName>
    <definedName name="ClientPhone">#REF!</definedName>
    <definedName name="ClientState">#REF!</definedName>
    <definedName name="ClientStreet">#REF!</definedName>
    <definedName name="ClientTel">#REF!</definedName>
    <definedName name="ClientTown">#REF!</definedName>
    <definedName name="ClientZip">#REF!</definedName>
    <definedName name="clintels">#REF!</definedName>
    <definedName name="clrf">#REF!</definedName>
    <definedName name="cM_143">[1]Analysis!$D$77</definedName>
    <definedName name="CM_Ratio">'[40]Name List'!$A$2:$A$7</definedName>
    <definedName name="cmort3">'[41]Rates Basic'!$D$21</definedName>
    <definedName name="cnc" localSheetId="16">#REF!</definedName>
    <definedName name="cnc" localSheetId="11">#REF!</definedName>
    <definedName name="cnc" localSheetId="12">#REF!</definedName>
    <definedName name="cnc" localSheetId="13">#REF!</definedName>
    <definedName name="cnc" localSheetId="14">#REF!</definedName>
    <definedName name="cnc" localSheetId="15">#REF!</definedName>
    <definedName name="cnc" localSheetId="10">#REF!</definedName>
    <definedName name="cnc" localSheetId="2">#REF!</definedName>
    <definedName name="cnc">#REF!</definedName>
    <definedName name="cnvert">#N/A</definedName>
    <definedName name="COAD">'[41]Civil Works'!$K$7</definedName>
    <definedName name="coarsesand" localSheetId="16">#REF!</definedName>
    <definedName name="coarsesand">#REF!</definedName>
    <definedName name="Code" localSheetId="16" hidden="1">#REF!</definedName>
    <definedName name="Code" hidden="1">#REF!</definedName>
    <definedName name="coimbatore" localSheetId="16">#REF!</definedName>
    <definedName name="coimbatore">#REF!</definedName>
    <definedName name="col">#REF!</definedName>
    <definedName name="col___0">#REF!</definedName>
    <definedName name="col___11">#REF!</definedName>
    <definedName name="col___12">#REF!</definedName>
    <definedName name="Colbgl">#REF!</definedName>
    <definedName name="colbgl2">#REF!</definedName>
    <definedName name="COLSK10">#REF!</definedName>
    <definedName name="COLSK11">#REF!</definedName>
    <definedName name="COLSK16">#REF!</definedName>
    <definedName name="Columns">#REF!</definedName>
    <definedName name="Columns_9">"'file:///E:/Perlos/Revised%20Tender/Perlos%20R1%20With%20VAT%20Nil%20ED%20&amp;%20ST.xls'#$''.$C$19:$G$29"</definedName>
    <definedName name="COM" localSheetId="16">'[3]NET Sum'!$H$11</definedName>
    <definedName name="com">#REF!</definedName>
    <definedName name="Comment1">#REF!</definedName>
    <definedName name="Comment2">#REF!</definedName>
    <definedName name="Comment3">#REF!</definedName>
    <definedName name="Comment4">#REF!</definedName>
    <definedName name="Comment5">#REF!</definedName>
    <definedName name="Comment6">#REF!</definedName>
    <definedName name="Comment7">#REF!</definedName>
    <definedName name="Comment8">#REF!</definedName>
    <definedName name="Comments">#REF!</definedName>
    <definedName name="COMMN" localSheetId="16">#REF!</definedName>
    <definedName name="COMMN">#REF!</definedName>
    <definedName name="Company" localSheetId="16">#REF!</definedName>
    <definedName name="Company">#REF!</definedName>
    <definedName name="company_add1" localSheetId="16">#REF!</definedName>
    <definedName name="company_add1">#REF!</definedName>
    <definedName name="company_add2">#REF!</definedName>
    <definedName name="company_name">#REF!</definedName>
    <definedName name="CompDate">#REF!</definedName>
    <definedName name="Component">#REF!</definedName>
    <definedName name="Con">0.03</definedName>
    <definedName name="CON_SCH">#REF!</definedName>
    <definedName name="concrete_dept_lbr_productivity">#REF!</definedName>
    <definedName name="ConcreteClassA">#REF!</definedName>
    <definedName name="condf">#REF!</definedName>
    <definedName name="conductor" localSheetId="16">[42]D!$B$3:$B$74</definedName>
    <definedName name="conductor">[43]D!$B$3:$B$74</definedName>
    <definedName name="conf" localSheetId="16">#REF!</definedName>
    <definedName name="conf" localSheetId="11">#REF!</definedName>
    <definedName name="conf" localSheetId="12">#REF!</definedName>
    <definedName name="conf" localSheetId="13">#REF!</definedName>
    <definedName name="conf" localSheetId="14">#REF!</definedName>
    <definedName name="conf" localSheetId="15">#REF!</definedName>
    <definedName name="conf" localSheetId="10">#REF!</definedName>
    <definedName name="conf" localSheetId="4">#REF!</definedName>
    <definedName name="conf" localSheetId="2">#REF!</definedName>
    <definedName name="conf">#REF!</definedName>
    <definedName name="conf_1" localSheetId="16">#REF!</definedName>
    <definedName name="conf_1">#REF!</definedName>
    <definedName name="conf_16" localSheetId="16">#REF!</definedName>
    <definedName name="conf_16">#REF!</definedName>
    <definedName name="conf_16_1">#REF!</definedName>
    <definedName name="conf_17">#REF!</definedName>
    <definedName name="conf_17_1">#REF!</definedName>
    <definedName name="conf_18">#REF!</definedName>
    <definedName name="conf_18_1">#REF!</definedName>
    <definedName name="conf_19">#REF!</definedName>
    <definedName name="conf_19_1">#REF!</definedName>
    <definedName name="conf_4">#REF!</definedName>
    <definedName name="conf_4_1">#REF!</definedName>
    <definedName name="conf_5">#REF!</definedName>
    <definedName name="conf_5_1">#REF!</definedName>
    <definedName name="conf_6">#REF!</definedName>
    <definedName name="conf_6_1">#REF!</definedName>
    <definedName name="conf_7">#REF!</definedName>
    <definedName name="conf_7_1">#REF!</definedName>
    <definedName name="conf_8">#REF!</definedName>
    <definedName name="conf_8_1">#REF!</definedName>
    <definedName name="conf_9">#REF!</definedName>
    <definedName name="conf_9_1">#REF!</definedName>
    <definedName name="config">[44]Sheet3!$A$1:$B$65536</definedName>
    <definedName name="ConfigPrice">#REF!</definedName>
    <definedName name="ConfigPriceEuro">#REF!</definedName>
    <definedName name="ConfigState">#REF!</definedName>
    <definedName name="conmsf">[45]factors!$J$8</definedName>
    <definedName name="CONS" localSheetId="16">#REF!</definedName>
    <definedName name="CONS">#REF!</definedName>
    <definedName name="constrn" localSheetId="16">#REF!</definedName>
    <definedName name="constrn">#REF!</definedName>
    <definedName name="Construction_Period" localSheetId="16">#REF!</definedName>
    <definedName name="Construction_Period">#REF!</definedName>
    <definedName name="Contact">#REF!</definedName>
    <definedName name="ContAmt">#REF!</definedName>
    <definedName name="ContractorProfit">12/100</definedName>
    <definedName name="ContWithAcct">#REF!</definedName>
    <definedName name="ContWithName">#REF!</definedName>
    <definedName name="ContWithPrio">#REF!</definedName>
    <definedName name="ContWithPrio_Text">#REF!</definedName>
    <definedName name="CONum">#REF!</definedName>
    <definedName name="conv" localSheetId="16">#REF!</definedName>
    <definedName name="conv" localSheetId="11">#REF!</definedName>
    <definedName name="conv" localSheetId="12">#REF!</definedName>
    <definedName name="conv" localSheetId="13">#REF!</definedName>
    <definedName name="conv" localSheetId="14">#REF!</definedName>
    <definedName name="conv" localSheetId="15">#REF!</definedName>
    <definedName name="conv" localSheetId="10">#REF!</definedName>
    <definedName name="conv">#REF!</definedName>
    <definedName name="Conversion1">#REF!</definedName>
    <definedName name="Conversion2">#REF!</definedName>
    <definedName name="cord">#REF!</definedName>
    <definedName name="CorpClient">#REF!</definedName>
    <definedName name="CorpClient_Text">#REF!</definedName>
    <definedName name="cost" localSheetId="4" hidden="1">#REF!</definedName>
    <definedName name="cost" localSheetId="0" hidden="1">#REF!</definedName>
    <definedName name="Cost__Ex_Works">'[17]BOQ LT'!#REF!</definedName>
    <definedName name="Cost_for_10_Hp_Hr.">[5]SOR!#REF!</definedName>
    <definedName name="Cost_of_water_including_filling_the_tanker">[5]SOR!#REF!</definedName>
    <definedName name="COTY">#REF!</definedName>
    <definedName name="COU" localSheetId="16">#REF!</definedName>
    <definedName name="COU" localSheetId="11">#REF!</definedName>
    <definedName name="COU" localSheetId="12">#REF!</definedName>
    <definedName name="COU" localSheetId="13">#REF!</definedName>
    <definedName name="COU" localSheetId="14">#REF!</definedName>
    <definedName name="COU" localSheetId="15">#REF!</definedName>
    <definedName name="COU" localSheetId="10">#REF!</definedName>
    <definedName name="COU" localSheetId="2">#REF!</definedName>
    <definedName name="COU">#REF!</definedName>
    <definedName name="COU___0" localSheetId="16">#REF!</definedName>
    <definedName name="COU___0" localSheetId="11">#REF!</definedName>
    <definedName name="COU___0" localSheetId="12">#REF!</definedName>
    <definedName name="COU___0" localSheetId="13">#REF!</definedName>
    <definedName name="COU___0" localSheetId="14">#REF!</definedName>
    <definedName name="COU___0" localSheetId="15">#REF!</definedName>
    <definedName name="COU___0" localSheetId="10">#REF!</definedName>
    <definedName name="COU___0">#REF!</definedName>
    <definedName name="COU___13" localSheetId="16">#REF!</definedName>
    <definedName name="COU___13">#REF!</definedName>
    <definedName name="Country">#REF!</definedName>
    <definedName name="Cover" localSheetId="16">Scheduled_Payment+Extra_Payment</definedName>
    <definedName name="cover" localSheetId="2">#REF!</definedName>
    <definedName name="cover">#REF!</definedName>
    <definedName name="cp">0.15</definedName>
    <definedName name="CP_PC_IE">#REF!</definedName>
    <definedName name="CP_PC_Profi">#REF!</definedName>
    <definedName name="cr">[46]dBase!$J$14</definedName>
    <definedName name="cre" localSheetId="16">#REF!</definedName>
    <definedName name="cre">#REF!</definedName>
    <definedName name="_xlnm.Criteria" localSheetId="16">#REF!</definedName>
    <definedName name="_xlnm.Criteria">#REF!</definedName>
    <definedName name="crsobpl">'[36]TBAL9697 -group wise  sdpl'!$A$34</definedName>
    <definedName name="Cs" localSheetId="16">#REF!</definedName>
    <definedName name="Cs" localSheetId="11">#REF!</definedName>
    <definedName name="Cs" localSheetId="12">#REF!</definedName>
    <definedName name="Cs" localSheetId="13">#REF!</definedName>
    <definedName name="Cs" localSheetId="14">#REF!</definedName>
    <definedName name="Cs" localSheetId="15">#REF!</definedName>
    <definedName name="Cs" localSheetId="10">#REF!</definedName>
    <definedName name="Cs" localSheetId="2">#REF!</definedName>
    <definedName name="Cs">#REF!</definedName>
    <definedName name="Cs___0" localSheetId="16">#REF!</definedName>
    <definedName name="Cs___0">#REF!</definedName>
    <definedName name="Cs___13" localSheetId="16">#REF!</definedName>
    <definedName name="Cs___13">#REF!</definedName>
    <definedName name="csshade">#REF!</definedName>
    <definedName name="cst">#REF!</definedName>
    <definedName name="cstf">#REF!</definedName>
    <definedName name="CT">#REF!</definedName>
    <definedName name="ctf">#REF!</definedName>
    <definedName name="ctl">#REF!</definedName>
    <definedName name="cts">#REF!</definedName>
    <definedName name="CU">'[47]Factor Sheet'!$D$148</definedName>
    <definedName name="cucnocab" localSheetId="16">#REF!</definedName>
    <definedName name="cucnocab">#REF!</definedName>
    <definedName name="CUDDAPAH_40" localSheetId="16">#REF!</definedName>
    <definedName name="CUDDAPAH_40" localSheetId="4">#REF!</definedName>
    <definedName name="CUDDAPAH_40">#REF!</definedName>
    <definedName name="Cum_Int" localSheetId="16">#REF!</definedName>
    <definedName name="Cum_Int">#REF!</definedName>
    <definedName name="cumi">#REF!</definedName>
    <definedName name="cumi1">'[48]TBAL9697 -group wise  sdpl'!$A$34</definedName>
    <definedName name="cummeas_may1006" localSheetId="16">#REF!</definedName>
    <definedName name="cummeas_may1006">#REF!</definedName>
    <definedName name="cummeas_up_to_mar" localSheetId="16">#REF!</definedName>
    <definedName name="cummeas_up_to_mar">#REF!</definedName>
    <definedName name="CumulativeFinancialProgress" localSheetId="16">#REF!</definedName>
    <definedName name="CumulativeFinancialProgress">#REF!</definedName>
    <definedName name="CumulativePercentCompletion">#REF!</definedName>
    <definedName name="curr_liab_prov">#REF!</definedName>
    <definedName name="Currencyfield">#REF!</definedName>
    <definedName name="CurrencyRate">#REF!</definedName>
    <definedName name="currencytype">#REF!</definedName>
    <definedName name="current1">#REF!</definedName>
    <definedName name="current2">#REF!</definedName>
    <definedName name="current3">#REF!</definedName>
    <definedName name="current4">#REF!</definedName>
    <definedName name="current5">#REF!</definedName>
    <definedName name="cust">#REF!</definedName>
    <definedName name="cust_sign_line">#REF!</definedName>
    <definedName name="custom1">#REF!</definedName>
    <definedName name="customer_name">#REF!</definedName>
    <definedName name="customer_status">#REF!</definedName>
    <definedName name="cutoffwall">#REF!</definedName>
    <definedName name="cv_100">#REF!</definedName>
    <definedName name="cv_150">#REF!</definedName>
    <definedName name="cv_200">#REF!</definedName>
    <definedName name="cv_25">#REF!</definedName>
    <definedName name="cv_250">#REF!</definedName>
    <definedName name="cv_300">#REF!</definedName>
    <definedName name="cv_32">#REF!</definedName>
    <definedName name="cv_40">#REF!</definedName>
    <definedName name="cv_400">#REF!</definedName>
    <definedName name="cv_50">#REF!</definedName>
    <definedName name="cv_500">#REF!</definedName>
    <definedName name="cv_65">#REF!</definedName>
    <definedName name="cv_80">#REF!</definedName>
    <definedName name="cvd">#REF!</definedName>
    <definedName name="cvdf">#REF!</definedName>
    <definedName name="CVXCVSA">#REF!</definedName>
    <definedName name="cw">10</definedName>
    <definedName name="D" localSheetId="16">#REF!</definedName>
    <definedName name="d">#REF!</definedName>
    <definedName name="d___0" localSheetId="16">#REF!</definedName>
    <definedName name="d___0">#REF!</definedName>
    <definedName name="d___13">#REF!</definedName>
    <definedName name="D_1">#N/A</definedName>
    <definedName name="D_2">#N/A</definedName>
    <definedName name="D206xE206">'[49]p&amp;m'!#REF!</definedName>
    <definedName name="DADOO_CL.GLZ" localSheetId="16">#REF!</definedName>
    <definedName name="DADOO_CL.GLZ" localSheetId="4">#REF!</definedName>
    <definedName name="DADOO_CL.GLZ">#REF!</definedName>
    <definedName name="DADOO_MOSIC" localSheetId="16">#REF!</definedName>
    <definedName name="DADOO_MOSIC" localSheetId="4">#REF!</definedName>
    <definedName name="DADOO_MOSIC">#REF!</definedName>
    <definedName name="DADOO_WT.GLZ" localSheetId="16">#REF!</definedName>
    <definedName name="DADOO_WT.GLZ" localSheetId="4">#REF!</definedName>
    <definedName name="DADOO_WT.GLZ">#REF!</definedName>
    <definedName name="dara">#REF!</definedName>
    <definedName name="DASDASHJKAS">#REF!</definedName>
    <definedName name="dat" localSheetId="16">#REF!</definedName>
    <definedName name="dat">#REF!</definedName>
    <definedName name="data" localSheetId="16">#REF!</definedName>
    <definedName name="data">#REF!</definedName>
    <definedName name="data1" hidden="1">#REF!</definedName>
    <definedName name="DATA10">[50]Data!#REF!</definedName>
    <definedName name="DATA100">[50]Data!#REF!</definedName>
    <definedName name="DATA1011">[50]Data!#REF!</definedName>
    <definedName name="DATA1012">[50]Data!#REF!</definedName>
    <definedName name="DATA1013">[50]Data!#REF!</definedName>
    <definedName name="DATA1014">[50]Data!#REF!</definedName>
    <definedName name="DATA1015">[50]Data!#REF!</definedName>
    <definedName name="DATA102">[50]Data!#REF!</definedName>
    <definedName name="DATA103">[50]Data!#REF!</definedName>
    <definedName name="DATA104">[50]Data!#REF!</definedName>
    <definedName name="DATA105">[50]Data!#REF!</definedName>
    <definedName name="DATA106">[50]Data!#REF!</definedName>
    <definedName name="DATA107A">[50]Data!#REF!</definedName>
    <definedName name="DATA107B">[50]Data!#REF!</definedName>
    <definedName name="DATA107C">[50]Data!#REF!</definedName>
    <definedName name="DATA107D">[50]Data!#REF!</definedName>
    <definedName name="DATA107E">[50]Data!#REF!</definedName>
    <definedName name="DATA107F">[50]Data!#REF!</definedName>
    <definedName name="DATA107G">[50]Data!#REF!</definedName>
    <definedName name="DATA108A">[50]Data!#REF!</definedName>
    <definedName name="DATA108B">[50]Data!#REF!</definedName>
    <definedName name="DATA108C">[50]Data!#REF!</definedName>
    <definedName name="DATA108D">[50]Data!#REF!</definedName>
    <definedName name="DATA108E">[50]Data!#REF!</definedName>
    <definedName name="DATA108F">[50]Data!#REF!</definedName>
    <definedName name="DATA108G">[50]Data!#REF!</definedName>
    <definedName name="DATA108H">[50]Data!#REF!</definedName>
    <definedName name="DATA108I">[50]Data!#REF!</definedName>
    <definedName name="DATA108J">[50]Data!#REF!</definedName>
    <definedName name="DATA108K">[50]Data!#REF!</definedName>
    <definedName name="DATA108L">[50]Data!#REF!</definedName>
    <definedName name="DATA108M">[50]Data!#REF!</definedName>
    <definedName name="DATA108N">[50]Data!#REF!</definedName>
    <definedName name="DATA108O">[50]Data!#REF!</definedName>
    <definedName name="DATA108P">[50]Data!#REF!</definedName>
    <definedName name="DATA109A">[50]Data!#REF!</definedName>
    <definedName name="DATA109B">[50]Data!#REF!</definedName>
    <definedName name="DATA109C">[50]Data!#REF!</definedName>
    <definedName name="DATA109D">[50]Data!#REF!</definedName>
    <definedName name="DATA109E">[50]Data!#REF!</definedName>
    <definedName name="DATA109F">[50]Data!#REF!</definedName>
    <definedName name="DATA109G">[50]Data!#REF!</definedName>
    <definedName name="DATA109H">[50]Data!#REF!</definedName>
    <definedName name="DATA109I">[50]Data!#REF!</definedName>
    <definedName name="DATA109J">[50]Data!#REF!</definedName>
    <definedName name="DATA109K">[50]Data!#REF!</definedName>
    <definedName name="DATA109L">[50]Data!#REF!</definedName>
    <definedName name="DATA109M">[50]Data!#REF!</definedName>
    <definedName name="DATA109N">[50]Data!#REF!</definedName>
    <definedName name="DATA109O">[50]Data!#REF!</definedName>
    <definedName name="DATA109P">[50]Data!#REF!</definedName>
    <definedName name="DATA11">[50]Data!#REF!</definedName>
    <definedName name="DATA110A">[50]Data!#REF!</definedName>
    <definedName name="DATA110B">[50]Data!#REF!</definedName>
    <definedName name="DATA110C">[50]Data!#REF!</definedName>
    <definedName name="DATA110D">[50]Data!#REF!</definedName>
    <definedName name="DATA110E">[50]Data!#REF!</definedName>
    <definedName name="DATA110F">[50]Data!#REF!</definedName>
    <definedName name="DATA110G">[50]Data!#REF!</definedName>
    <definedName name="DATA110H">[50]Data!#REF!</definedName>
    <definedName name="DATA110I">[50]Data!#REF!</definedName>
    <definedName name="DATA110J">[50]Data!#REF!</definedName>
    <definedName name="DATA110K">[50]Data!#REF!</definedName>
    <definedName name="DATA110L">[50]Data!#REF!</definedName>
    <definedName name="DATA110M">[50]Data!#REF!</definedName>
    <definedName name="DATA110N">[50]Data!#REF!</definedName>
    <definedName name="DATA110O">[50]Data!#REF!</definedName>
    <definedName name="DATA110P">[50]Data!#REF!</definedName>
    <definedName name="DATA111A">[50]Data!#REF!</definedName>
    <definedName name="DATA111B">[50]Data!#REF!</definedName>
    <definedName name="DATA111C">[50]Data!#REF!</definedName>
    <definedName name="DATA111D">[50]Data!#REF!</definedName>
    <definedName name="DATA111E">[50]Data!#REF!</definedName>
    <definedName name="DATA111F">[50]Data!#REF!</definedName>
    <definedName name="DATA111G">[50]Data!#REF!</definedName>
    <definedName name="DATA111H">[50]Data!#REF!</definedName>
    <definedName name="DATA111I">[50]Data!#REF!</definedName>
    <definedName name="DATA111J">[50]Data!#REF!</definedName>
    <definedName name="DATA111K">[50]Data!#REF!</definedName>
    <definedName name="DATA111L">[50]Data!#REF!</definedName>
    <definedName name="DATA111M">[50]Data!#REF!</definedName>
    <definedName name="DATA111N">[50]Data!#REF!</definedName>
    <definedName name="DATA111O">[50]Data!#REF!</definedName>
    <definedName name="DATA111P">[50]Data!#REF!</definedName>
    <definedName name="DATA112A">[50]Data!#REF!</definedName>
    <definedName name="DATA112B">[50]Data!#REF!</definedName>
    <definedName name="DATA112C">[50]Data!#REF!</definedName>
    <definedName name="DATA112D">[50]Data!#REF!</definedName>
    <definedName name="DATA112E">[50]Data!#REF!</definedName>
    <definedName name="DATA112F">[50]Data!#REF!</definedName>
    <definedName name="DATA112G">[50]Data!#REF!</definedName>
    <definedName name="DATA112H">[50]Data!#REF!</definedName>
    <definedName name="DATA112I">[50]Data!#REF!</definedName>
    <definedName name="DATA112J">[50]Data!#REF!</definedName>
    <definedName name="DATA112K">[50]Data!#REF!</definedName>
    <definedName name="DATA112L">[50]Data!#REF!</definedName>
    <definedName name="DATA112M">[50]Data!#REF!</definedName>
    <definedName name="DATA112N">[50]Data!#REF!</definedName>
    <definedName name="DATA112O">[50]Data!#REF!</definedName>
    <definedName name="DATA112P">[50]Data!#REF!</definedName>
    <definedName name="DATA113A">[50]Data!#REF!</definedName>
    <definedName name="DATA113B">[50]Data!#REF!</definedName>
    <definedName name="DATA113C">[50]Data!#REF!</definedName>
    <definedName name="DATA113D">[50]Data!#REF!</definedName>
    <definedName name="DATA113E">[50]Data!#REF!</definedName>
    <definedName name="DATA113F">[50]Data!#REF!</definedName>
    <definedName name="DATA113G">[50]Data!#REF!</definedName>
    <definedName name="DATA113H">[50]Data!#REF!</definedName>
    <definedName name="DATA113I">[50]Data!#REF!</definedName>
    <definedName name="DATA113J">[50]Data!#REF!</definedName>
    <definedName name="DATA113K">[50]Data!#REF!</definedName>
    <definedName name="DATA114">[50]Data!#REF!</definedName>
    <definedName name="DATA115">[50]Data!#REF!</definedName>
    <definedName name="DATA116">[50]Data!#REF!</definedName>
    <definedName name="DATA117">[50]Data!#REF!</definedName>
    <definedName name="DATA118">[50]Data!#REF!</definedName>
    <definedName name="DATA119">[50]Data!#REF!</definedName>
    <definedName name="DATA12">[50]Data!#REF!</definedName>
    <definedName name="DATA120">[50]Data!#REF!</definedName>
    <definedName name="DATA121">[50]Data!#REF!</definedName>
    <definedName name="DATA122">[50]Data!#REF!</definedName>
    <definedName name="DATA123">[50]Data!#REF!</definedName>
    <definedName name="DATA124">[50]Data!#REF!</definedName>
    <definedName name="DATA125">[50]Data!#REF!</definedName>
    <definedName name="DATA126">[50]Data!#REF!</definedName>
    <definedName name="DATA127A">[50]Data!#REF!</definedName>
    <definedName name="DATA127B">[50]Data!#REF!</definedName>
    <definedName name="DATA127C">[50]Data!#REF!</definedName>
    <definedName name="DATA127D">[50]Data!#REF!</definedName>
    <definedName name="DATA127E">[50]Data!#REF!</definedName>
    <definedName name="DATA127F">[50]Data!#REF!</definedName>
    <definedName name="DATA127G">[50]Data!#REF!</definedName>
    <definedName name="DATA127H">[50]Data!#REF!</definedName>
    <definedName name="DATA127I">[50]Data!#REF!</definedName>
    <definedName name="DATA127J">[50]Data!#REF!</definedName>
    <definedName name="DATA128A">[50]Data!#REF!</definedName>
    <definedName name="DATA128B">[50]Data!#REF!</definedName>
    <definedName name="DATA128C">[50]Data!#REF!</definedName>
    <definedName name="DATA128D">[50]Data!#REF!</definedName>
    <definedName name="DATA128E">[50]Data!#REF!</definedName>
    <definedName name="DATA128F">[50]Data!#REF!</definedName>
    <definedName name="DATA128G">[50]Data!#REF!</definedName>
    <definedName name="DATA129A">[50]Data!#REF!</definedName>
    <definedName name="DATA129B">[50]Data!#REF!</definedName>
    <definedName name="DATA129C">[50]Data!#REF!</definedName>
    <definedName name="DATA129D">[50]Data!#REF!</definedName>
    <definedName name="DATA13">[50]Data!#REF!</definedName>
    <definedName name="DATA130A">[50]Data!#REF!</definedName>
    <definedName name="DATA130B">[50]Data!#REF!</definedName>
    <definedName name="DATA131">[50]Data!#REF!</definedName>
    <definedName name="DATA132">[50]Data!#REF!</definedName>
    <definedName name="DATA133">[50]Data!#REF!</definedName>
    <definedName name="DATA134110" localSheetId="16">#REF!</definedName>
    <definedName name="DATA134110">#REF!</definedName>
    <definedName name="DATA134125" localSheetId="16">#REF!</definedName>
    <definedName name="DATA134125">#REF!</definedName>
    <definedName name="DATA134140" localSheetId="16">#REF!</definedName>
    <definedName name="DATA134140">#REF!</definedName>
    <definedName name="DATA134160">#REF!</definedName>
    <definedName name="DATA134180">#REF!</definedName>
    <definedName name="DATA134200">#REF!</definedName>
    <definedName name="DATA134225">#REF!</definedName>
    <definedName name="DATA134250">#REF!</definedName>
    <definedName name="DATA134280">#REF!</definedName>
    <definedName name="DATA134315">#REF!</definedName>
    <definedName name="DATA134355">#REF!</definedName>
    <definedName name="DATA134400">#REF!</definedName>
    <definedName name="DATA13450">#REF!</definedName>
    <definedName name="DATA13463">#REF!</definedName>
    <definedName name="DATA13475">#REF!</definedName>
    <definedName name="DATA13490">#REF!</definedName>
    <definedName name="DATA135110">#REF!</definedName>
    <definedName name="DATA135125">#REF!</definedName>
    <definedName name="DATA135140">#REF!</definedName>
    <definedName name="DATA135160">#REF!</definedName>
    <definedName name="DATA135180">#REF!</definedName>
    <definedName name="DATA135200">#REF!</definedName>
    <definedName name="DATA135225">#REF!</definedName>
    <definedName name="DATA135250">#REF!</definedName>
    <definedName name="DATA135280">#REF!</definedName>
    <definedName name="DATA135315">#REF!</definedName>
    <definedName name="DATA135355">#REF!</definedName>
    <definedName name="DATA135400">#REF!</definedName>
    <definedName name="DATA13550">#REF!</definedName>
    <definedName name="DATA13563">#REF!</definedName>
    <definedName name="DATA13575">#REF!</definedName>
    <definedName name="DATA13590">#REF!</definedName>
    <definedName name="DATA136A">#REF!</definedName>
    <definedName name="DATA136B">#REF!</definedName>
    <definedName name="DATA136C">#REF!</definedName>
    <definedName name="DATA136D">#REF!</definedName>
    <definedName name="DATA136E">#REF!</definedName>
    <definedName name="DATA136F">#REF!</definedName>
    <definedName name="DATA136G">#REF!</definedName>
    <definedName name="DATA136H">#REF!</definedName>
    <definedName name="DATA136I">#REF!</definedName>
    <definedName name="DATA136J">#REF!</definedName>
    <definedName name="DATA136K">#REF!</definedName>
    <definedName name="DATA136L">#REF!</definedName>
    <definedName name="DATA136M">#REF!</definedName>
    <definedName name="DATA136N">#REF!</definedName>
    <definedName name="DATA136O">#REF!</definedName>
    <definedName name="DATA136P">#REF!</definedName>
    <definedName name="DATA137I">#REF!</definedName>
    <definedName name="DATA137II">#REF!</definedName>
    <definedName name="DATA137III">#REF!</definedName>
    <definedName name="DATA137IV">#REF!</definedName>
    <definedName name="DATA137V">#REF!</definedName>
    <definedName name="DATA138I">#REF!</definedName>
    <definedName name="DATA138II">#REF!</definedName>
    <definedName name="DATA138III">#REF!</definedName>
    <definedName name="DATA138IV">#REF!</definedName>
    <definedName name="DATA138V">#REF!</definedName>
    <definedName name="DATA138VI">#REF!</definedName>
    <definedName name="DATA139IX">#REF!</definedName>
    <definedName name="DATA139V">#REF!</definedName>
    <definedName name="DATA139VI">#REF!</definedName>
    <definedName name="DATA139VII">#REF!</definedName>
    <definedName name="DATA139VIII">#REF!</definedName>
    <definedName name="DATA14">[50]Data!#REF!</definedName>
    <definedName name="DATA140I" localSheetId="16">#REF!</definedName>
    <definedName name="DATA140I">#REF!</definedName>
    <definedName name="DATA140II" localSheetId="16">#REF!</definedName>
    <definedName name="DATA140II">#REF!</definedName>
    <definedName name="DATA140III" localSheetId="16">#REF!</definedName>
    <definedName name="DATA140III">#REF!</definedName>
    <definedName name="DATA140IV">#REF!</definedName>
    <definedName name="DATA140V">#REF!</definedName>
    <definedName name="DATA141I">#REF!</definedName>
    <definedName name="DATA141II">#REF!</definedName>
    <definedName name="DATA141III">#REF!</definedName>
    <definedName name="DATA141IV">#REF!</definedName>
    <definedName name="DATA141V">#REF!</definedName>
    <definedName name="DATA142I">#REF!</definedName>
    <definedName name="DATA142II">#REF!</definedName>
    <definedName name="DATA142III">#REF!</definedName>
    <definedName name="DATA142IV">#REF!</definedName>
    <definedName name="DATA142V">#REF!</definedName>
    <definedName name="DATA143">[50]Data!#REF!</definedName>
    <definedName name="DATA144">[50]Data!#REF!</definedName>
    <definedName name="DATA145">[50]Data!#REF!</definedName>
    <definedName name="DATA146">[50]Data!#REF!</definedName>
    <definedName name="DATA147">[50]Data!#REF!</definedName>
    <definedName name="DATA148">[50]Data!#REF!</definedName>
    <definedName name="DATA149">[50]Data!#REF!</definedName>
    <definedName name="DATA150">[50]Data!#REF!</definedName>
    <definedName name="DATA151A">[50]Data!#REF!</definedName>
    <definedName name="DATA152">[50]Data!#REF!</definedName>
    <definedName name="DATA153">[50]Data!#REF!</definedName>
    <definedName name="DATA154">[50]Data!#REF!</definedName>
    <definedName name="DATA156">[50]Data!#REF!</definedName>
    <definedName name="DATA157">[50]Data!#REF!</definedName>
    <definedName name="DATA158">[50]Data!#REF!</definedName>
    <definedName name="DATA159A">[50]Data!#REF!</definedName>
    <definedName name="DATA159B">[50]Data!#REF!</definedName>
    <definedName name="DATA159C">[50]Data!#REF!</definedName>
    <definedName name="DATA159D">[50]Data!#REF!</definedName>
    <definedName name="DATA16">[50]Data!#REF!</definedName>
    <definedName name="DATA160">[50]Data!#REF!</definedName>
    <definedName name="DATA161">[50]Data!#REF!</definedName>
    <definedName name="DATA162">[50]Data!#REF!</definedName>
    <definedName name="DATA163">[50]Data!#REF!</definedName>
    <definedName name="DATA18">[50]Data!#REF!</definedName>
    <definedName name="DATA19">[50]Data!#REF!</definedName>
    <definedName name="data2" localSheetId="16" hidden="1">#REF!</definedName>
    <definedName name="data2" hidden="1">#REF!</definedName>
    <definedName name="DATA20">[50]Data!#REF!</definedName>
    <definedName name="DATA21">[50]Data!#REF!</definedName>
    <definedName name="DATA22">[50]Data!#REF!</definedName>
    <definedName name="DATA23">[50]Data!#REF!</definedName>
    <definedName name="DATA24">[50]Data!#REF!</definedName>
    <definedName name="DATA26">[50]Data!#REF!</definedName>
    <definedName name="DATA27">[50]Data!#REF!</definedName>
    <definedName name="DATA29">[50]Data!#REF!</definedName>
    <definedName name="data3" localSheetId="16" hidden="1">#REF!</definedName>
    <definedName name="data3" hidden="1">#REF!</definedName>
    <definedName name="DATA30">[50]Data!#REF!</definedName>
    <definedName name="DATA31">[50]Data!#REF!</definedName>
    <definedName name="DATA32">[50]Data!#REF!</definedName>
    <definedName name="DATA33">[50]Data!#REF!</definedName>
    <definedName name="DATA34">[50]Data!#REF!</definedName>
    <definedName name="DATA35">[50]Data!#REF!</definedName>
    <definedName name="DATA36">[50]Data!#REF!</definedName>
    <definedName name="DATA37">[50]Data!#REF!</definedName>
    <definedName name="DATA38">[50]Data!#REF!</definedName>
    <definedName name="DATA39">[50]Data!#REF!</definedName>
    <definedName name="DATA4">[50]Data!#REF!</definedName>
    <definedName name="DATA40">[50]Data!#REF!</definedName>
    <definedName name="DATA41">[50]Data!#REF!</definedName>
    <definedName name="DATA42">[50]Data!#REF!</definedName>
    <definedName name="DATA43">[50]Data!#REF!</definedName>
    <definedName name="DATA44">[50]Data!#REF!</definedName>
    <definedName name="DATA45">[50]Data!#REF!</definedName>
    <definedName name="DATA46">[50]Data!#REF!</definedName>
    <definedName name="DATA47">[50]Data!#REF!</definedName>
    <definedName name="DATA48">[50]Data!#REF!</definedName>
    <definedName name="DATA49">[50]Data!#REF!</definedName>
    <definedName name="DATA5">[50]Data!#REF!</definedName>
    <definedName name="DATA50">[50]Data!#REF!</definedName>
    <definedName name="DATA51">[50]Data!#REF!</definedName>
    <definedName name="DATA52">[50]Data!#REF!</definedName>
    <definedName name="DATA53">[50]Data!#REF!</definedName>
    <definedName name="DATA54">[50]Data!#REF!</definedName>
    <definedName name="DATA56">[50]Data!#REF!</definedName>
    <definedName name="DATA57">[50]Data!#REF!</definedName>
    <definedName name="DATA58">[50]Data!#REF!</definedName>
    <definedName name="DATA59">[50]Data!#REF!</definedName>
    <definedName name="DATA6">[50]Data!#REF!</definedName>
    <definedName name="DATA60">[50]Data!#REF!</definedName>
    <definedName name="DATA61">[50]Data!#REF!</definedName>
    <definedName name="DATA63">[50]Data!#REF!</definedName>
    <definedName name="DATA64">[50]Data!#REF!</definedName>
    <definedName name="DATA65">[50]Data!#REF!</definedName>
    <definedName name="DATA66">[50]Data!#REF!</definedName>
    <definedName name="DATA67">[50]Data!#REF!</definedName>
    <definedName name="DATA68">[50]Data!#REF!</definedName>
    <definedName name="DATA69">[50]Data!#REF!</definedName>
    <definedName name="DATA7">[50]Data!#REF!</definedName>
    <definedName name="DATA70">[50]Data!#REF!</definedName>
    <definedName name="DATA71">[50]Data!#REF!</definedName>
    <definedName name="DATA72">[50]Data!#REF!</definedName>
    <definedName name="DATA73">[50]Data!#REF!</definedName>
    <definedName name="DATA74">[50]Data!#REF!</definedName>
    <definedName name="DATA76">[50]Data!#REF!</definedName>
    <definedName name="DATA77A">[50]Data!#REF!</definedName>
    <definedName name="DATA77B">[50]Data!#REF!</definedName>
    <definedName name="DATA78">[50]Data!#REF!</definedName>
    <definedName name="DATA79A">[50]Data!#REF!</definedName>
    <definedName name="DATA79B">[50]Data!#REF!</definedName>
    <definedName name="DATA79C">[50]Data!#REF!</definedName>
    <definedName name="DATA8">[50]Data!#REF!</definedName>
    <definedName name="DATA80A">[50]Data!#REF!</definedName>
    <definedName name="DATA80B">[50]Data!#REF!</definedName>
    <definedName name="DATA80C">[50]Data!#REF!</definedName>
    <definedName name="DATA81">[50]Data!#REF!</definedName>
    <definedName name="DATA82">[50]Data!#REF!</definedName>
    <definedName name="DATA84">[50]Data!#REF!</definedName>
    <definedName name="DATA85">[50]Data!#REF!</definedName>
    <definedName name="DATA86">[50]Data!#REF!</definedName>
    <definedName name="DATA87">[50]Data!#REF!</definedName>
    <definedName name="DATA88">[50]Data!#REF!</definedName>
    <definedName name="DATA89">[50]Data!#REF!</definedName>
    <definedName name="DATA9">[50]Data!#REF!</definedName>
    <definedName name="DATA90">[50]Data!#REF!</definedName>
    <definedName name="DATA92">[50]Data!#REF!</definedName>
    <definedName name="DATA93">[50]Data!#REF!</definedName>
    <definedName name="DATA94">[50]Data!#REF!</definedName>
    <definedName name="DATA95">[50]Data!#REF!</definedName>
    <definedName name="DATA98">[50]Data!#REF!</definedName>
    <definedName name="DATA99">[50]Data!#REF!</definedName>
    <definedName name="_xlnm.Database" localSheetId="16">#REF!</definedName>
    <definedName name="_xlnm.Database">#REF!</definedName>
    <definedName name="date" localSheetId="16">'[50]As per PCA'!#REF!</definedName>
    <definedName name="Date">#REF!</definedName>
    <definedName name="DateType">#REF!</definedName>
    <definedName name="db" localSheetId="16">#REF!</definedName>
    <definedName name="db">#REF!</definedName>
    <definedName name="db___0" localSheetId="16">#REF!</definedName>
    <definedName name="db___0">#REF!</definedName>
    <definedName name="db___13" localSheetId="16">#REF!</definedName>
    <definedName name="db___13">#REF!</definedName>
    <definedName name="dc">#REF!</definedName>
    <definedName name="dc_9">"'file:///E:/Perlos/Revised%20Tender/Perlos%20R1%20With%20VAT%20Nil%20ED%20&amp;%20ST.xls'#$''.$F$35"</definedName>
    <definedName name="dcff">#REF!</definedName>
    <definedName name="DCT">#REF!</definedName>
    <definedName name="DCU">#REF!</definedName>
    <definedName name="dd" localSheetId="16">#REF!</definedName>
    <definedName name="dd">#REF!</definedName>
    <definedName name="dddd" localSheetId="16">#REF!</definedName>
    <definedName name="DDDD">#REF!</definedName>
    <definedName name="ddddd" localSheetId="16">'[24]A.O.R r1Str'!#REF!</definedName>
    <definedName name="ddddd">'[24]A.O.R r1Str'!#REF!</definedName>
    <definedName name="ddsddssd" localSheetId="16">#REF!</definedName>
    <definedName name="ddsddssd">#REF!</definedName>
    <definedName name="de" localSheetId="16">#REF!</definedName>
    <definedName name="de">#REF!</definedName>
    <definedName name="DEFECT_LIABILITY_PERIOD" localSheetId="16">#REF!</definedName>
    <definedName name="DEFECT_LIABILITY_PERIOD">#REF!</definedName>
    <definedName name="DELTA20">#REF!</definedName>
    <definedName name="DELTA20___0">#REF!</definedName>
    <definedName name="DELTA20___13">#REF!</definedName>
    <definedName name="DEM">#REF!</definedName>
    <definedName name="DEMI2">#N/A</definedName>
    <definedName name="den">#REF!</definedName>
    <definedName name="Dep_Scaff">#REF!</definedName>
    <definedName name="Depn" localSheetId="16">#REF!</definedName>
    <definedName name="Depn">#REF!</definedName>
    <definedName name="Depn_PMEScaff">#REF!</definedName>
    <definedName name="Depn_Props">#REF!</definedName>
    <definedName name="DEPTH">#REF!</definedName>
    <definedName name="Des">#REF!</definedName>
    <definedName name="desai">#REF!</definedName>
    <definedName name="desai_1">#REF!</definedName>
    <definedName name="DESC100">[50]Data!#REF!</definedName>
    <definedName name="DESC101">[50]Data!#REF!</definedName>
    <definedName name="DESC1011">[50]Data!#REF!</definedName>
    <definedName name="DESC1012">[50]Data!#REF!</definedName>
    <definedName name="DESC1013">[50]Data!#REF!</definedName>
    <definedName name="DESC1014">[50]Data!#REF!</definedName>
    <definedName name="DESC1015">[50]Data!#REF!</definedName>
    <definedName name="DESC102">[50]Data!#REF!</definedName>
    <definedName name="DESC103">[50]Data!#REF!</definedName>
    <definedName name="DESC104">[50]Data!#REF!</definedName>
    <definedName name="DESC105">[50]Data!#REF!</definedName>
    <definedName name="DESC106">[50]Data!#REF!</definedName>
    <definedName name="DESC107">[50]Data!#REF!</definedName>
    <definedName name="DESC107A">[50]Data!#REF!</definedName>
    <definedName name="DESC107B">[50]Data!#REF!</definedName>
    <definedName name="DESC107C">[50]Data!#REF!</definedName>
    <definedName name="DESC107D">[50]Data!#REF!</definedName>
    <definedName name="DESC107E">[50]Data!#REF!</definedName>
    <definedName name="DESC107F">[50]Data!#REF!</definedName>
    <definedName name="DESC107G">[50]Data!#REF!</definedName>
    <definedName name="DESC108">[50]Data!#REF!</definedName>
    <definedName name="DESC108A">[50]Data!#REF!</definedName>
    <definedName name="DESC108B">[50]Data!#REF!</definedName>
    <definedName name="DESC108C">[50]Data!#REF!</definedName>
    <definedName name="DESC108D">[50]Data!#REF!</definedName>
    <definedName name="DESC108E">[50]Data!#REF!</definedName>
    <definedName name="DESC108F">[50]Data!#REF!</definedName>
    <definedName name="DESC108G">[50]Data!#REF!</definedName>
    <definedName name="DESC108H">[50]Data!#REF!</definedName>
    <definedName name="DESC108I">[50]Data!#REF!</definedName>
    <definedName name="DESC108J">[50]Data!#REF!</definedName>
    <definedName name="DESC108K">[50]Data!#REF!</definedName>
    <definedName name="DESC108L">[50]Data!#REF!</definedName>
    <definedName name="DESC108M">[50]Data!#REF!</definedName>
    <definedName name="DESC108N">[50]Data!#REF!</definedName>
    <definedName name="DESC108O">[50]Data!#REF!</definedName>
    <definedName name="DESC108P">[50]Data!#REF!</definedName>
    <definedName name="DESC109">[50]Data!#REF!</definedName>
    <definedName name="DESC109A">[50]Data!#REF!</definedName>
    <definedName name="DESC109B">[50]Data!#REF!</definedName>
    <definedName name="DESC109C">[50]Data!#REF!</definedName>
    <definedName name="DESC109D">[50]Data!#REF!</definedName>
    <definedName name="DESC109E">[50]Data!#REF!</definedName>
    <definedName name="DESC109F">[50]Data!#REF!</definedName>
    <definedName name="DESC109G">[50]Data!#REF!</definedName>
    <definedName name="DESC109H">[50]Data!#REF!</definedName>
    <definedName name="DESC109I">[50]Data!#REF!</definedName>
    <definedName name="DESC109J">[50]Data!#REF!</definedName>
    <definedName name="DESC109K">[50]Data!#REF!</definedName>
    <definedName name="DESC109L">[50]Data!#REF!</definedName>
    <definedName name="DESC109M">[50]Data!#REF!</definedName>
    <definedName name="DESC109N">[50]Data!#REF!</definedName>
    <definedName name="DESC109O">[50]Data!#REF!</definedName>
    <definedName name="DESC109P">[50]Data!#REF!</definedName>
    <definedName name="DESC110">[50]Data!#REF!</definedName>
    <definedName name="DESC110A">[50]Data!#REF!</definedName>
    <definedName name="DESC110B">[50]Data!#REF!</definedName>
    <definedName name="DESC110C">[50]Data!#REF!</definedName>
    <definedName name="DESC110D">[50]Data!#REF!</definedName>
    <definedName name="DESC110E">[50]Data!#REF!</definedName>
    <definedName name="DESC110F">[50]Data!#REF!</definedName>
    <definedName name="DESC110G">[50]Data!#REF!</definedName>
    <definedName name="DESC110H">[50]Data!#REF!</definedName>
    <definedName name="DESC110I">[50]Data!#REF!</definedName>
    <definedName name="DESC110J">[50]Data!#REF!</definedName>
    <definedName name="DESC110K">[50]Data!#REF!</definedName>
    <definedName name="DESC110L">[50]Data!#REF!</definedName>
    <definedName name="DESC110M">[50]Data!#REF!</definedName>
    <definedName name="DESC110N">[50]Data!#REF!</definedName>
    <definedName name="DESC110O">[50]Data!#REF!</definedName>
    <definedName name="DESC110P">[50]Data!#REF!</definedName>
    <definedName name="DESC111">[50]Data!#REF!</definedName>
    <definedName name="DESC111A">[50]Data!#REF!</definedName>
    <definedName name="DESC111B">[50]Data!#REF!</definedName>
    <definedName name="DESC111C">[50]Data!#REF!</definedName>
    <definedName name="DESC111D">[50]Data!#REF!</definedName>
    <definedName name="DESC111E">[50]Data!#REF!</definedName>
    <definedName name="DESC111F">[50]Data!#REF!</definedName>
    <definedName name="DESC111G">[50]Data!#REF!</definedName>
    <definedName name="DESC111H">[50]Data!#REF!</definedName>
    <definedName name="DESC111I">[50]Data!#REF!</definedName>
    <definedName name="DESC111J">[50]Data!#REF!</definedName>
    <definedName name="DESC111K">[50]Data!#REF!</definedName>
    <definedName name="DESC111L">[50]Data!#REF!</definedName>
    <definedName name="DESC111M">[50]Data!#REF!</definedName>
    <definedName name="DESC111N">[50]Data!#REF!</definedName>
    <definedName name="DESC111O">[50]Data!#REF!</definedName>
    <definedName name="DESC111P">[50]Data!#REF!</definedName>
    <definedName name="DESC112">[50]Data!#REF!</definedName>
    <definedName name="DESC112A">[50]Data!#REF!</definedName>
    <definedName name="DESC112B">[50]Data!#REF!</definedName>
    <definedName name="DESC112C">[50]Data!#REF!</definedName>
    <definedName name="DESC112D">[50]Data!#REF!</definedName>
    <definedName name="DESC112E">[50]Data!#REF!</definedName>
    <definedName name="DESC112F">[50]Data!#REF!</definedName>
    <definedName name="DESC112G">[50]Data!#REF!</definedName>
    <definedName name="DESC112H">[50]Data!#REF!</definedName>
    <definedName name="DESC112I">[50]Data!#REF!</definedName>
    <definedName name="DESC112J">[50]Data!#REF!</definedName>
    <definedName name="DESC112K">[50]Data!#REF!</definedName>
    <definedName name="DESC112L">[50]Data!#REF!</definedName>
    <definedName name="DESC112M">[50]Data!#REF!</definedName>
    <definedName name="DESC112N">[50]Data!#REF!</definedName>
    <definedName name="DESC112O">[50]Data!#REF!</definedName>
    <definedName name="DESC112P">[50]Data!#REF!</definedName>
    <definedName name="DESC113">[50]Data!#REF!</definedName>
    <definedName name="DESC113A">[50]Data!#REF!</definedName>
    <definedName name="DESC113B">[50]Data!#REF!</definedName>
    <definedName name="DESC113C">[50]Data!#REF!</definedName>
    <definedName name="DESC113D">[50]Data!#REF!</definedName>
    <definedName name="DESC113E">[50]Data!#REF!</definedName>
    <definedName name="DESC113F">[50]Data!#REF!</definedName>
    <definedName name="DESC113G">[50]Data!#REF!</definedName>
    <definedName name="DESC113H">[50]Data!#REF!</definedName>
    <definedName name="DESC113I">[50]Data!#REF!</definedName>
    <definedName name="DESC113J">[50]Data!#REF!</definedName>
    <definedName name="DESC113K">[50]Data!#REF!</definedName>
    <definedName name="DESC114">[50]Data!#REF!</definedName>
    <definedName name="DESC115">[50]Data!#REF!</definedName>
    <definedName name="DESC116">[50]Data!#REF!</definedName>
    <definedName name="DESC117">[50]Data!#REF!</definedName>
    <definedName name="DESC118">[50]Data!#REF!</definedName>
    <definedName name="DESC119">[50]Data!#REF!</definedName>
    <definedName name="DESC120">[50]Data!#REF!</definedName>
    <definedName name="DESC121">[50]Data!#REF!</definedName>
    <definedName name="DESC122">[50]Data!#REF!</definedName>
    <definedName name="DESC123">[50]Data!#REF!</definedName>
    <definedName name="DESC124">[50]Data!#REF!</definedName>
    <definedName name="DESC125">[50]Data!#REF!</definedName>
    <definedName name="DESC126">[50]Data!#REF!</definedName>
    <definedName name="DESC127">[50]Data!#REF!</definedName>
    <definedName name="DESC127A">[50]Data!#REF!</definedName>
    <definedName name="DESC127B">[50]Data!#REF!</definedName>
    <definedName name="DESC127C">[50]Data!#REF!</definedName>
    <definedName name="DESC127D">[50]Data!#REF!</definedName>
    <definedName name="DESC127E">[50]Data!#REF!</definedName>
    <definedName name="DESC127F">[50]Data!#REF!</definedName>
    <definedName name="DESC127G">[50]Data!#REF!</definedName>
    <definedName name="DESC127H">[50]Data!#REF!</definedName>
    <definedName name="DESC127I">[50]Data!#REF!</definedName>
    <definedName name="DESC127J">[50]Data!#REF!</definedName>
    <definedName name="DESC128">[50]Data!#REF!</definedName>
    <definedName name="DESC128A">[50]Data!#REF!</definedName>
    <definedName name="DESC128B">[50]Data!#REF!</definedName>
    <definedName name="DESC128C">[50]Data!#REF!</definedName>
    <definedName name="DESC128D">[50]Data!#REF!</definedName>
    <definedName name="DESC128E">[50]Data!#REF!</definedName>
    <definedName name="DESC128F">[50]Data!#REF!</definedName>
    <definedName name="DESC128G">[50]Data!#REF!</definedName>
    <definedName name="DESC129">[50]Data!#REF!</definedName>
    <definedName name="DESC129A">[50]Data!#REF!</definedName>
    <definedName name="DESC129B">[50]Data!#REF!</definedName>
    <definedName name="DESC129C">[50]Data!#REF!</definedName>
    <definedName name="DESC129D">[50]Data!#REF!</definedName>
    <definedName name="DESC130">[50]Data!#REF!</definedName>
    <definedName name="DESC130A">[50]Data!#REF!</definedName>
    <definedName name="DESC130B">[50]Data!#REF!</definedName>
    <definedName name="DESC131">[50]Data!#REF!</definedName>
    <definedName name="DESC132">[50]Data!#REF!</definedName>
    <definedName name="DESC133">[50]Data!#REF!</definedName>
    <definedName name="DESC14">[50]Data!#REF!</definedName>
    <definedName name="DESC143">[50]Data!#REF!</definedName>
    <definedName name="DESC144">[50]Data!#REF!</definedName>
    <definedName name="DESC145">[50]Data!#REF!</definedName>
    <definedName name="DESC146">[50]Data!#REF!</definedName>
    <definedName name="DESC147">[50]Data!#REF!</definedName>
    <definedName name="DESC148">[50]Data!#REF!</definedName>
    <definedName name="DESC149">[50]Data!#REF!</definedName>
    <definedName name="DESC150">[50]Data!#REF!</definedName>
    <definedName name="DESC151A">[50]Data!#REF!</definedName>
    <definedName name="DESC152">[50]Data!#REF!</definedName>
    <definedName name="DESC153">[50]Data!#REF!</definedName>
    <definedName name="DESC154">[50]Data!#REF!</definedName>
    <definedName name="DESC155">[50]Data!#REF!</definedName>
    <definedName name="DESC156">[50]Data!#REF!</definedName>
    <definedName name="DESC157">[50]Data!#REF!</definedName>
    <definedName name="desc1571">[50]Data!#REF!</definedName>
    <definedName name="DESC158">[50]Data!#REF!</definedName>
    <definedName name="DESC16">[50]Data!#REF!</definedName>
    <definedName name="DESC18">[50]Data!#REF!</definedName>
    <definedName name="DESC19">[50]Data!#REF!</definedName>
    <definedName name="DESC20">[50]Data!#REF!</definedName>
    <definedName name="DESC21">[50]Data!#REF!</definedName>
    <definedName name="DESC22">[50]Data!#REF!</definedName>
    <definedName name="DESC23">[50]Data!#REF!</definedName>
    <definedName name="DESC24">[50]Data!#REF!</definedName>
    <definedName name="DESC26">[50]Data!#REF!</definedName>
    <definedName name="DESC27">[50]Data!#REF!</definedName>
    <definedName name="DESC29">[50]Data!#REF!</definedName>
    <definedName name="DESC30">[50]Data!#REF!</definedName>
    <definedName name="DESC31">[50]Data!#REF!</definedName>
    <definedName name="DESC32">[50]Data!#REF!</definedName>
    <definedName name="DESC33">[50]Data!#REF!</definedName>
    <definedName name="DESC34">[50]Data!#REF!</definedName>
    <definedName name="DESC35">[50]Data!#REF!</definedName>
    <definedName name="DESC36">[50]Data!#REF!</definedName>
    <definedName name="DESC37">[50]Data!#REF!</definedName>
    <definedName name="DESC38">[50]Data!#REF!</definedName>
    <definedName name="DESC39">[50]Data!#REF!</definedName>
    <definedName name="DESC40">[50]Data!#REF!</definedName>
    <definedName name="DESC41">[50]Data!#REF!</definedName>
    <definedName name="DESC42">[50]Data!#REF!</definedName>
    <definedName name="DESC43">[50]Data!#REF!</definedName>
    <definedName name="DESC44">[50]Data!#REF!</definedName>
    <definedName name="DESC45">[50]Data!#REF!</definedName>
    <definedName name="DESC46">[50]Data!#REF!</definedName>
    <definedName name="DESC47">[50]Data!#REF!</definedName>
    <definedName name="DESC48">[50]Data!#REF!</definedName>
    <definedName name="DESC49">[50]Data!#REF!</definedName>
    <definedName name="DESC50">[50]Data!#REF!</definedName>
    <definedName name="DESC51">[50]Data!#REF!</definedName>
    <definedName name="DESC52">[50]Data!#REF!</definedName>
    <definedName name="DESC54">[50]Data!#REF!</definedName>
    <definedName name="DESC56">[50]Data!#REF!</definedName>
    <definedName name="DESC57">[50]Data!#REF!</definedName>
    <definedName name="DESC58">[50]Data!#REF!</definedName>
    <definedName name="DESC59">[50]Data!#REF!</definedName>
    <definedName name="DESC60">[50]Data!#REF!</definedName>
    <definedName name="DESC61">[50]Data!#REF!</definedName>
    <definedName name="DESC63">[50]Data!#REF!</definedName>
    <definedName name="DESC64">[50]Data!#REF!</definedName>
    <definedName name="DESC65">[50]Data!#REF!</definedName>
    <definedName name="DESC66">[50]Data!#REF!</definedName>
    <definedName name="DESC68">[50]Data!#REF!</definedName>
    <definedName name="DESC69">[50]Data!#REF!</definedName>
    <definedName name="DESC7">[50]Data!#REF!</definedName>
    <definedName name="DESC70">[50]Data!#REF!</definedName>
    <definedName name="DESC71">[50]Data!#REF!</definedName>
    <definedName name="DESC72">[50]Data!#REF!</definedName>
    <definedName name="DESC73">[50]Data!#REF!</definedName>
    <definedName name="DESC74">[50]Data!#REF!</definedName>
    <definedName name="DESC77">[50]Data!#REF!</definedName>
    <definedName name="DESC78">[50]Data!#REF!</definedName>
    <definedName name="DESC79">[50]Data!#REF!</definedName>
    <definedName name="DESC79A">[50]Data!#REF!</definedName>
    <definedName name="DESC79B">[50]Data!#REF!</definedName>
    <definedName name="DESC79C">[50]Data!#REF!</definedName>
    <definedName name="DESC80">[50]Data!#REF!</definedName>
    <definedName name="DESC80A">[50]Data!#REF!</definedName>
    <definedName name="DESC80B">[50]Data!#REF!</definedName>
    <definedName name="DESC80C">[50]Data!#REF!</definedName>
    <definedName name="DESC81">[50]Data!#REF!</definedName>
    <definedName name="DESC82">[50]Data!#REF!</definedName>
    <definedName name="DESC85">[50]Data!#REF!</definedName>
    <definedName name="DESC86">[50]Data!#REF!</definedName>
    <definedName name="DESC87">[50]Data!#REF!</definedName>
    <definedName name="DESC88">[50]Data!#REF!</definedName>
    <definedName name="DESC92">[50]Data!#REF!</definedName>
    <definedName name="DESC93">[50]Data!#REF!</definedName>
    <definedName name="DESC94">[50]Data!#REF!</definedName>
    <definedName name="DESC95">[50]Data!#REF!</definedName>
    <definedName name="DESC98">[50]Data!#REF!</definedName>
    <definedName name="DESC99">[50]Data!#REF!</definedName>
    <definedName name="Description" localSheetId="16">#REF!</definedName>
    <definedName name="Description">#REF!</definedName>
    <definedName name="DESDS" localSheetId="16">#REF!</definedName>
    <definedName name="DESDS">#REF!</definedName>
    <definedName name="DESIGNATION" localSheetId="16">[51]sheeet7!#REF!</definedName>
    <definedName name="DESIGNATION">[51]sheeet7!#REF!</definedName>
    <definedName name="designed" localSheetId="16">#REF!</definedName>
    <definedName name="designed" localSheetId="11">#REF!</definedName>
    <definedName name="designed" localSheetId="12">#REF!</definedName>
    <definedName name="designed" localSheetId="13">#REF!</definedName>
    <definedName name="designed" localSheetId="14">#REF!</definedName>
    <definedName name="designed" localSheetId="15">#REF!</definedName>
    <definedName name="designed" localSheetId="10">#REF!</definedName>
    <definedName name="designed" localSheetId="2">#REF!</definedName>
    <definedName name="designed">#REF!</definedName>
    <definedName name="DesignPress" localSheetId="2">#REF!</definedName>
    <definedName name="DesignPress">#REF!</definedName>
    <definedName name="Deta" localSheetId="4" hidden="1">#REF!</definedName>
    <definedName name="Deta" localSheetId="0" hidden="1">#REF!</definedName>
    <definedName name="df" localSheetId="16">#REF!</definedName>
    <definedName name="df">#REF!</definedName>
    <definedName name="df_13">"$#REF!.$F$4"</definedName>
    <definedName name="df_9">"'file:///E:/Perlos/Revised%20Tender/Perlos%20R1%20With%20VAT%20Nil%20ED%20&amp;%20ST.xls'#$''.$AS$45"</definedName>
    <definedName name="dfc" localSheetId="16">#REF!</definedName>
    <definedName name="dfc" localSheetId="11">#REF!</definedName>
    <definedName name="dfc" localSheetId="12">#REF!</definedName>
    <definedName name="dfc" localSheetId="13">#REF!</definedName>
    <definedName name="dfc" localSheetId="14">#REF!</definedName>
    <definedName name="dfc" localSheetId="15">#REF!</definedName>
    <definedName name="dfc" localSheetId="10">#REF!</definedName>
    <definedName name="dfc" localSheetId="2">#REF!</definedName>
    <definedName name="dfc">#REF!</definedName>
    <definedName name="dfd" localSheetId="16">Scheduled_Payment+Extra_Payment</definedName>
    <definedName name="dfd" localSheetId="11">Scheduled_Payment+Extra_Payment</definedName>
    <definedName name="dfd" localSheetId="14">Scheduled_Payment+Extra_Payment</definedName>
    <definedName name="dfd" localSheetId="15">Scheduled_Payment+Extra_Payment</definedName>
    <definedName name="dfd" localSheetId="2">Scheduled_Payment+Extra_Payment</definedName>
    <definedName name="dfd" localSheetId="9">Scheduled_Payment+Extra_Payment</definedName>
    <definedName name="dfd">Scheduled_Payment+Extra_Payment</definedName>
    <definedName name="dfdf" localSheetId="16">#REF!</definedName>
    <definedName name="dfdf" localSheetId="11">#REF!</definedName>
    <definedName name="dfdf" localSheetId="12">#REF!</definedName>
    <definedName name="dfdf" localSheetId="13">#REF!</definedName>
    <definedName name="dfdf" localSheetId="14">#REF!</definedName>
    <definedName name="dfdf" localSheetId="15">#REF!</definedName>
    <definedName name="dfdf" localSheetId="10">#REF!</definedName>
    <definedName name="dfdf" localSheetId="2">#REF!</definedName>
    <definedName name="dfdf">#REF!</definedName>
    <definedName name="dfg" localSheetId="16">#REF!</definedName>
    <definedName name="dfg">#REF!</definedName>
    <definedName name="dfsd" localSheetId="16">#REF!</definedName>
    <definedName name="dfsd">#REF!</definedName>
    <definedName name="DFSDGFG">#REF!</definedName>
    <definedName name="dg">#REF!</definedName>
    <definedName name="dg_9">"'file:///E:/Perlos/Revised%20Tender/Perlos%20R1%20With%20VAT%20Nil%20ED%20&amp;%20ST.xls'#$''.$F$37"</definedName>
    <definedName name="DG_Total">#REF!</definedName>
    <definedName name="dghj">#REF!</definedName>
    <definedName name="dgp">'[7]Costing-blk-B'!#REF!</definedName>
    <definedName name="Di" localSheetId="16">#REF!</definedName>
    <definedName name="Di" localSheetId="11">#REF!</definedName>
    <definedName name="Di" localSheetId="12">#REF!</definedName>
    <definedName name="Di" localSheetId="13">#REF!</definedName>
    <definedName name="Di" localSheetId="14">#REF!</definedName>
    <definedName name="Di" localSheetId="15">#REF!</definedName>
    <definedName name="Di" localSheetId="10">#REF!</definedName>
    <definedName name="Di" localSheetId="2">#REF!</definedName>
    <definedName name="Di">#REF!</definedName>
    <definedName name="Dia" localSheetId="16">#REF!</definedName>
    <definedName name="dia">#REF!</definedName>
    <definedName name="dim4e" localSheetId="16">#REF!</definedName>
    <definedName name="dim4e" localSheetId="4">#REF!</definedName>
    <definedName name="dim4e">#REF!</definedName>
    <definedName name="dim4e_1">#REF!</definedName>
    <definedName name="dim4e_16">#REF!</definedName>
    <definedName name="dim4e_16_1">#REF!</definedName>
    <definedName name="dim4e_17">#REF!</definedName>
    <definedName name="dim4e_17_1">#REF!</definedName>
    <definedName name="dim4e_18">#REF!</definedName>
    <definedName name="dim4e_18_1">#REF!</definedName>
    <definedName name="dim4e_19">#REF!</definedName>
    <definedName name="dim4e_19_1">#REF!</definedName>
    <definedName name="dim4e_4">#REF!</definedName>
    <definedName name="dim4e_4_1">#REF!</definedName>
    <definedName name="dim4e_5">#REF!</definedName>
    <definedName name="dim4e_5_1">#REF!</definedName>
    <definedName name="dim4e_6">#REF!</definedName>
    <definedName name="dim4e_6_1">#REF!</definedName>
    <definedName name="dim4e_7">#REF!</definedName>
    <definedName name="dim4e_7_1">#REF!</definedName>
    <definedName name="dim4e_8">#REF!</definedName>
    <definedName name="dim4e_8_1">#REF!</definedName>
    <definedName name="dim4e_9">#REF!</definedName>
    <definedName name="dim4e_9_1">#REF!</definedName>
    <definedName name="dimc">#REF!</definedName>
    <definedName name="DIns">#REF!</definedName>
    <definedName name="Disclaimer">#REF!</definedName>
    <definedName name="Discount" hidden="1">#REF!</definedName>
    <definedName name="Discount1">'[38]Break Dw'!$G$4</definedName>
    <definedName name="display_area_2" localSheetId="16" hidden="1">#REF!</definedName>
    <definedName name="display_area_2" hidden="1">#REF!</definedName>
    <definedName name="Dist_Discount">#REF!</definedName>
    <definedName name="Distember" localSheetId="16">#REF!</definedName>
    <definedName name="Distember" localSheetId="4">#REF!</definedName>
    <definedName name="Distember">#REF!</definedName>
    <definedName name="Distributors_Discount">#REF!</definedName>
    <definedName name="Div">#REF!</definedName>
    <definedName name="DKKConversion">#REF!</definedName>
    <definedName name="dl" localSheetId="16">#REF!</definedName>
    <definedName name="dl">#REF!</definedName>
    <definedName name="dl___0">#REF!</definedName>
    <definedName name="dl___13">#REF!</definedName>
    <definedName name="DLP">#REF!</definedName>
    <definedName name="dmfds">#REF!</definedName>
    <definedName name="Do">#REF!</definedName>
    <definedName name="Doc2002価格修正分">#REF!</definedName>
    <definedName name="docu">#REF!</definedName>
    <definedName name="dol7.5">[10]starter!$R$51</definedName>
    <definedName name="DOW_CORNING_789_SILICONE_SEALANT" localSheetId="16">#REF!</definedName>
    <definedName name="DOW_CORNING_789_SILICONE_SEALANT">#REF!</definedName>
    <definedName name="DP" localSheetId="16">#REF!</definedName>
    <definedName name="DP">#REF!</definedName>
    <definedName name="dq" localSheetId="16">#REF!</definedName>
    <definedName name="dq">#REF!</definedName>
    <definedName name="dq_9">"'file:///E:/Perlos/Revised%20Tender/Perlos%20R1%20With%20VAT%20Nil%20ED%20&amp;%20ST.xls'#$''.$F$36"</definedName>
    <definedName name="DR.33">#REF!</definedName>
    <definedName name="DR.46">#REF!</definedName>
    <definedName name="DR.56">#REF!</definedName>
    <definedName name="Drain">#REF!</definedName>
    <definedName name="driller">#REF!</definedName>
    <definedName name="Drives">#REF!</definedName>
    <definedName name="DriveSets">#REF!</definedName>
    <definedName name="Ds">#REF!</definedName>
    <definedName name="Ds___0">#REF!</definedName>
    <definedName name="Ds___13">#REF!</definedName>
    <definedName name="DSAFSDA">#REF!</definedName>
    <definedName name="dsat">#REF!</definedName>
    <definedName name="dsd">#REF!</definedName>
    <definedName name="DSDDSFDF">#REF!</definedName>
    <definedName name="dsdsd">#REF!</definedName>
    <definedName name="dsdsdd">#REF!</definedName>
    <definedName name="dsdsdsdsd">#REF!</definedName>
    <definedName name="dsdud">#REF!</definedName>
    <definedName name="dsfsd">#REF!</definedName>
    <definedName name="DSR">#REF!</definedName>
    <definedName name="DSSDSADFS">#REF!</definedName>
    <definedName name="DST">#REF!</definedName>
    <definedName name="dzfsdfdsf">#REF!</definedName>
    <definedName name="E" localSheetId="16">#REF!</definedName>
    <definedName name="E">#REF!</definedName>
    <definedName name="E.1" localSheetId="16">#REF!</definedName>
    <definedName name="E.1">#REF!</definedName>
    <definedName name="E_2">#N/A</definedName>
    <definedName name="e_data">#REF!</definedName>
    <definedName name="e_empindex">#REF!</definedName>
    <definedName name="EARTH_FILL" localSheetId="16">#REF!</definedName>
    <definedName name="EARTH_FILL" localSheetId="4">#REF!</definedName>
    <definedName name="EARTH_FILL">#REF!</definedName>
    <definedName name="EARTHWORK" localSheetId="16">[11]A.O.R.!#REF!</definedName>
    <definedName name="EARTHWORK">[11]A.O.R.!#REF!</definedName>
    <definedName name="eb" localSheetId="16">#REF!</definedName>
    <definedName name="eb">#REF!</definedName>
    <definedName name="EB_Total" localSheetId="16">#REF!</definedName>
    <definedName name="EB_Total">#REF!</definedName>
    <definedName name="ebas" localSheetId="16">'[24]A.O.R r1Str'!#REF!</definedName>
    <definedName name="ebas">'[24]A.O.R r1Str'!#REF!</definedName>
    <definedName name="ebasic" localSheetId="16">'[24]A.O.R r1'!#REF!</definedName>
    <definedName name="ebasic">'[24]A.O.R r1'!#REF!</definedName>
    <definedName name="ec_charges">#REF!</definedName>
    <definedName name="ecfact" localSheetId="16">#REF!</definedName>
    <definedName name="ecfact">#REF!</definedName>
    <definedName name="ED" localSheetId="4">'[52]Rate analysis'!#REF!</definedName>
    <definedName name="ED" localSheetId="0">'[52]Rate analysis'!#REF!</definedName>
    <definedName name="ED">#REF!</definedName>
    <definedName name="ed_svcs_end" localSheetId="16">#REF!</definedName>
    <definedName name="ed_svcs_end" localSheetId="11">#REF!</definedName>
    <definedName name="ed_svcs_end" localSheetId="12">#REF!</definedName>
    <definedName name="ed_svcs_end" localSheetId="13">#REF!</definedName>
    <definedName name="ed_svcs_end" localSheetId="14">#REF!</definedName>
    <definedName name="ed_svcs_end" localSheetId="15">#REF!</definedName>
    <definedName name="ed_svcs_end" localSheetId="10">#REF!</definedName>
    <definedName name="ed_svcs_end" localSheetId="2">#REF!</definedName>
    <definedName name="ed_svcs_end">#REF!</definedName>
    <definedName name="ed_svcs_start" localSheetId="16">#REF!</definedName>
    <definedName name="ed_svcs_start">#REF!</definedName>
    <definedName name="edf">#REF!</definedName>
    <definedName name="ee" localSheetId="16">#REF!</definedName>
    <definedName name="ee">#REF!</definedName>
    <definedName name="eere">#REF!</definedName>
    <definedName name="egt301d">#REF!</definedName>
    <definedName name="egt330d">#REF!</definedName>
    <definedName name="Eigen">#REF!</definedName>
    <definedName name="ele">0.015</definedName>
    <definedName name="elecbasic">#REF!</definedName>
    <definedName name="Electrical">#REF!</definedName>
    <definedName name="ElectricalBasic">#REF!</definedName>
    <definedName name="ELECTRICALFITTINGS">#REF!</definedName>
    <definedName name="ELECTRICALWIRING">#REF!</definedName>
    <definedName name="ELECTRICITY_CHARGES">#REF!</definedName>
    <definedName name="Em" localSheetId="16">#REF!</definedName>
    <definedName name="Em">#REF!</definedName>
    <definedName name="Em___0" localSheetId="16">#REF!</definedName>
    <definedName name="Em___0">#REF!</definedName>
    <definedName name="Em___13">#REF!</definedName>
    <definedName name="Email">#REF!</definedName>
    <definedName name="EMAS">#REF!</definedName>
    <definedName name="EMB">#REF!</definedName>
    <definedName name="Emb108a">#REF!</definedName>
    <definedName name="Emb108c">#REF!</definedName>
    <definedName name="EMD" localSheetId="16">[53]Boq!#REF!</definedName>
    <definedName name="EMD">[53]Boq!#REF!</definedName>
    <definedName name="empty">#REF!</definedName>
    <definedName name="emulsion" localSheetId="16">#REF!</definedName>
    <definedName name="emulsion">#REF!</definedName>
    <definedName name="Encoder">#REF!</definedName>
    <definedName name="end" localSheetId="16">'[28]GR.slab-reinft'!#REF!</definedName>
    <definedName name="end">#REF!</definedName>
    <definedName name="End_Bal" localSheetId="16">#REF!</definedName>
    <definedName name="End_Bal">#REF!</definedName>
    <definedName name="End_Risks">#REF!</definedName>
    <definedName name="endbay" localSheetId="16">'[28]GR.slab-reinft'!#REF!</definedName>
    <definedName name="endbay">#REF!</definedName>
    <definedName name="EndBorder" localSheetId="16">#REF!</definedName>
    <definedName name="EndBorder">#REF!</definedName>
    <definedName name="EndUserInfo" localSheetId="16">#REF!</definedName>
    <definedName name="EndUserInfo">#REF!</definedName>
    <definedName name="Eng">#REF!</definedName>
    <definedName name="EngAddress">#REF!</definedName>
    <definedName name="EngCity">#REF!</definedName>
    <definedName name="Engg_charges">#REF!</definedName>
    <definedName name="EngName">#REF!</definedName>
    <definedName name="EngPostal">#REF!</definedName>
    <definedName name="EngPrio">#REF!</definedName>
    <definedName name="EngPrio_Text">#REF!</definedName>
    <definedName name="EngState">#REF!</definedName>
    <definedName name="ENTERTAINMENT__REFRESHMENT_ETC." localSheetId="16">#REF!</definedName>
    <definedName name="ENTERTAINMENT__REFRESHMENT_ETC.">#REF!</definedName>
    <definedName name="eqjwd">#REF!</definedName>
    <definedName name="ER">#REF!</definedName>
    <definedName name="erer" localSheetId="16">'[54]PCS DATA'!$B$3:$B$74</definedName>
    <definedName name="erer">'[55]PCS DATA'!$B$3:$B$74</definedName>
    <definedName name="Es" localSheetId="16">#REF!</definedName>
    <definedName name="Es" localSheetId="11">#REF!</definedName>
    <definedName name="Es" localSheetId="12">#REF!</definedName>
    <definedName name="Es" localSheetId="13">#REF!</definedName>
    <definedName name="Es" localSheetId="14">#REF!</definedName>
    <definedName name="Es" localSheetId="15">#REF!</definedName>
    <definedName name="Es" localSheetId="10">#REF!</definedName>
    <definedName name="Es" localSheetId="2">#REF!</definedName>
    <definedName name="Es">#REF!</definedName>
    <definedName name="Es___0" localSheetId="16">#REF!</definedName>
    <definedName name="Es___0">#REF!</definedName>
    <definedName name="Es___13" localSheetId="16">#REF!</definedName>
    <definedName name="Es___13">#REF!</definedName>
    <definedName name="Escalation">#REF!</definedName>
    <definedName name="essai" localSheetId="4">#REF!</definedName>
    <definedName name="essai" localSheetId="0">#REF!</definedName>
    <definedName name="ESSR1">#REF!</definedName>
    <definedName name="ESSR10">#REF!</definedName>
    <definedName name="ESSR11">#REF!</definedName>
    <definedName name="ESSR12">#REF!</definedName>
    <definedName name="ESSR13">#REF!</definedName>
    <definedName name="ESSR2">#REF!</definedName>
    <definedName name="ESSR3">#REF!</definedName>
    <definedName name="ESSR4">#REF!</definedName>
    <definedName name="ESSR5">#REF!</definedName>
    <definedName name="ESSR6">#REF!</definedName>
    <definedName name="ESSR7">#REF!</definedName>
    <definedName name="ESSR8">#REF!</definedName>
    <definedName name="ESSR9">#REF!</definedName>
    <definedName name="EstCost">#REF!</definedName>
    <definedName name="estim">#REF!</definedName>
    <definedName name="ESTIMATE">#REF!</definedName>
    <definedName name="ESTIMATED_COST">#REF!</definedName>
    <definedName name="Et">#REF!</definedName>
    <definedName name="Et___0">#REF!</definedName>
    <definedName name="Et___13">#REF!</definedName>
    <definedName name="eu" localSheetId="4">#REF!</definedName>
    <definedName name="eu">#REF!</definedName>
    <definedName name="eu_1">#REF!</definedName>
    <definedName name="eu_16">#REF!</definedName>
    <definedName name="eu_16_1">#REF!</definedName>
    <definedName name="eu_17">#REF!</definedName>
    <definedName name="eu_17_1">#REF!</definedName>
    <definedName name="eu_18">#REF!</definedName>
    <definedName name="eu_18_1">#REF!</definedName>
    <definedName name="eu_19">#REF!</definedName>
    <definedName name="eu_19_1">#REF!</definedName>
    <definedName name="eu_4">#REF!</definedName>
    <definedName name="eu_4_1">#REF!</definedName>
    <definedName name="eu_5">#REF!</definedName>
    <definedName name="eu_5_1">#REF!</definedName>
    <definedName name="eu_6">#REF!</definedName>
    <definedName name="eu_6_1">#REF!</definedName>
    <definedName name="eu_7">#REF!</definedName>
    <definedName name="eu_7_1">#REF!</definedName>
    <definedName name="eu_8">#REF!</definedName>
    <definedName name="eu_8_1">#REF!</definedName>
    <definedName name="eu_9">#REF!</definedName>
    <definedName name="eu_9_1">#REF!</definedName>
    <definedName name="euro">#REF!</definedName>
    <definedName name="EuroConversion">#REF!</definedName>
    <definedName name="euronet">#REF!</definedName>
    <definedName name="EW">#REF!</definedName>
    <definedName name="eweew">#REF!</definedName>
    <definedName name="Excavation">#REF!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[56]GBW!#REF!</definedName>
    <definedName name="Excel_BuiltIn__FilterDatabase_1" localSheetId="16">#REF!</definedName>
    <definedName name="Excel_BuiltIn__FilterDatabase_1">#REF!</definedName>
    <definedName name="Excel_BuiltIn__FilterDatabase_12">#REF!</definedName>
    <definedName name="Excel_BuiltIn__FilterDatabase_2" localSheetId="16">#REF!</definedName>
    <definedName name="Excel_BuiltIn__FilterDatabase_2">#REF!</definedName>
    <definedName name="Excel_BuiltIn__FilterDatabase_2_1" localSheetId="16">#REF!</definedName>
    <definedName name="Excel_BuiltIn__FilterDatabase_2_1">#REF!</definedName>
    <definedName name="Excel_BuiltIn__FilterDatabase_2_2">NA()</definedName>
    <definedName name="Excel_BuiltIn__FilterDatabase_2_3" localSheetId="16">'[57]Break_Up (bc)'!#REF!</definedName>
    <definedName name="Excel_BuiltIn__FilterDatabase_2_3">'[57]Break_Up (bc)'!#REF!</definedName>
    <definedName name="Excel_BuiltIn__FilterDatabase_2_3_1">NA()</definedName>
    <definedName name="Excel_BuiltIn__FilterDatabase_2_4" localSheetId="16">#REF!</definedName>
    <definedName name="Excel_BuiltIn__FilterDatabase_2_4">#REF!</definedName>
    <definedName name="Excel_BuiltIn__FilterDatabase_2_5" localSheetId="16">'[57]Break_Up (bc1)'!#REF!</definedName>
    <definedName name="Excel_BuiltIn__FilterDatabase_2_5">'[57]Break_Up (bc1)'!#REF!</definedName>
    <definedName name="Excel_BuiltIn__FilterDatabase_2_6" localSheetId="16">'[57]Break_Up (bc2)'!#REF!</definedName>
    <definedName name="Excel_BuiltIn__FilterDatabase_2_6">'[57]Break_Up (bc2)'!#REF!</definedName>
    <definedName name="Excel_BuiltIn__FilterDatabase_3" localSheetId="16">#REF!</definedName>
    <definedName name="Excel_BuiltIn__FilterDatabase_3">#REF!</definedName>
    <definedName name="Excel_BuiltIn__FilterDatabase_4" localSheetId="16">[15]Break_Up!#REF!</definedName>
    <definedName name="Excel_BuiltIn__FilterDatabase_4">[15]Break_Up!#REF!</definedName>
    <definedName name="Excel_BuiltIn_Database" localSheetId="16">#REF!</definedName>
    <definedName name="Excel_BuiltIn_Database">#REF!</definedName>
    <definedName name="Excel_BuiltIn_Print_Area">#REF!</definedName>
    <definedName name="Excel_BuiltIn_Print_Area_0" localSheetId="16">#REF!</definedName>
    <definedName name="Excel_BuiltIn_Print_Area_0">#REF!</definedName>
    <definedName name="Excel_BuiltIn_Print_Area_0___0">"$#REF!.$#REF!$#REF!:$#REF!$#REF!"</definedName>
    <definedName name="Excel_BuiltIn_Print_Area_1" localSheetId="16">#REF!</definedName>
    <definedName name="Excel_BuiltIn_Print_Area_1" localSheetId="11">#REF!</definedName>
    <definedName name="Excel_BuiltIn_Print_Area_1" localSheetId="12">#REF!</definedName>
    <definedName name="Excel_BuiltIn_Print_Area_1" localSheetId="13">#REF!</definedName>
    <definedName name="Excel_BuiltIn_Print_Area_1" localSheetId="14">#REF!</definedName>
    <definedName name="Excel_BuiltIn_Print_Area_1" localSheetId="15">#REF!</definedName>
    <definedName name="Excel_BuiltIn_Print_Area_1" localSheetId="10">#REF!</definedName>
    <definedName name="Excel_BuiltIn_Print_Area_1" localSheetId="4">#REF!</definedName>
    <definedName name="Excel_BuiltIn_Print_Area_1" localSheetId="2">#REF!</definedName>
    <definedName name="Excel_BuiltIn_Print_Area_1">#REF!</definedName>
    <definedName name="Excel_BuiltIn_Print_Area_1_1" localSheetId="16">#REF!</definedName>
    <definedName name="Excel_BuiltIn_Print_Area_1_1">#REF!</definedName>
    <definedName name="Excel_BuiltIn_Print_Area_1_1_1" localSheetId="16">#REF!</definedName>
    <definedName name="Excel_BuiltIn_Print_Area_1_1_1">#REF!</definedName>
    <definedName name="Excel_BuiltIn_Print_Area_1_1_1_1">#REF!</definedName>
    <definedName name="Excel_BuiltIn_Print_Area_1_2">#REF!</definedName>
    <definedName name="Excel_BuiltIn_Print_Area_1_4">#REF!</definedName>
    <definedName name="Excel_BuiltIn_Print_Area_1_5">#REF!</definedName>
    <definedName name="Excel_BuiltIn_Print_Area_1_6">#REF!</definedName>
    <definedName name="Excel_BuiltIn_Print_Area_10">#REF!</definedName>
    <definedName name="Excel_BuiltIn_Print_Area_2">#REF!</definedName>
    <definedName name="Excel_BuiltIn_Print_Area_2_1" localSheetId="4">#REF!</definedName>
    <definedName name="Excel_BuiltIn_Print_Area_2_1" localSheetId="0">#REF!</definedName>
    <definedName name="Excel_BuiltIn_Print_Area_2_1">#REF!</definedName>
    <definedName name="Excel_BuiltIn_Print_Area_2_1_1">#REF!</definedName>
    <definedName name="Excel_BuiltIn_Print_Area_2_1_1_1">#REF!</definedName>
    <definedName name="Excel_BuiltIn_Print_Area_3">#REF!</definedName>
    <definedName name="Excel_BuiltIn_Print_Area_3_1" localSheetId="4">#REF!</definedName>
    <definedName name="Excel_BuiltIn_Print_Area_3_1" localSheetId="0">#REF!</definedName>
    <definedName name="Excel_BuiltIn_Print_Area_4">#REF!</definedName>
    <definedName name="Excel_BuiltIn_Print_Area_4_1">#REF!</definedName>
    <definedName name="Excel_BuiltIn_Print_Area_5">#REF!</definedName>
    <definedName name="Excel_BuiltIn_Print_Area_5_1" localSheetId="4">#REF!</definedName>
    <definedName name="Excel_BuiltIn_Print_Area_5_1" localSheetId="0">#REF!</definedName>
    <definedName name="Excel_BuiltIn_Print_Area_6">#REF!</definedName>
    <definedName name="Excel_BuiltIn_Print_Titles_1">#REF!</definedName>
    <definedName name="Excel_BuiltIn_Print_Titles_1_1">#REF!</definedName>
    <definedName name="Excel_BuiltIn_Print_Titles_2" localSheetId="4">#REF!</definedName>
    <definedName name="Excel_BuiltIn_Print_Titles_2" localSheetId="0">#REF!</definedName>
    <definedName name="Excel_BuiltIn_Print_Titles_2">#REF!</definedName>
    <definedName name="Excel_BuiltIn_Print_Titles_2_1">#REF!</definedName>
    <definedName name="Excel_BuiltIn_Print_Titles_3">#REF!</definedName>
    <definedName name="Excel_BuiltIn_Print_Titles_3_1">#REF!</definedName>
    <definedName name="Excel_BuiltIn_Print_Titles_4">#REF!</definedName>
    <definedName name="Excel_BuiltIn_Print_Titles_4_1">#REF!</definedName>
    <definedName name="Excel_BuiltIn_Print_Titles_5">#REF!</definedName>
    <definedName name="Excel_BuiltIn_Print_Titles_6">#REF!</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f">#REF!</definedName>
    <definedName name="EXIT">#REF!</definedName>
    <definedName name="exp.joints">#REF!</definedName>
    <definedName name="EXP.JTS">[11]A.O.R.!#REF!</definedName>
    <definedName name="exp_ch">[38]Config!$C$14</definedName>
    <definedName name="Export">#REF!</definedName>
    <definedName name="Extra_Pay" localSheetId="16">#REF!</definedName>
    <definedName name="Extra_Pay">#REF!</definedName>
    <definedName name="_xlnm.Extract" localSheetId="16">#REF!</definedName>
    <definedName name="_xlnm.Extract">#REF!</definedName>
    <definedName name="EXTRW">[37]R2!$C$20</definedName>
    <definedName name="eyrc">#REF!</definedName>
    <definedName name="eyrlp">#REF!</definedName>
    <definedName name="E掛け率">[58]一発シート!$I$13</definedName>
    <definedName name="F" localSheetId="16">#REF!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0">#REF!</definedName>
    <definedName name="f" localSheetId="2">#REF!</definedName>
    <definedName name="f">#REF!</definedName>
    <definedName name="F.1.a" localSheetId="16">'[58]F1a-Pile'!#REF!</definedName>
    <definedName name="F.1.a" localSheetId="2">'[58]F1a-Pile'!#REF!</definedName>
    <definedName name="F.1.a">'[58]F1a-Pile'!#REF!</definedName>
    <definedName name="F.2" localSheetId="2">#REF!</definedName>
    <definedName name="F.2">#REF!</definedName>
    <definedName name="F.E.W_ALL" localSheetId="16">#REF!</definedName>
    <definedName name="F.E.W_ALL" localSheetId="4">#REF!</definedName>
    <definedName name="F.E.W_ALL">#REF!</definedName>
    <definedName name="F.E.W_H.S.CLAY" localSheetId="16">#REF!</definedName>
    <definedName name="F.E.W_H.S.CLAY" localSheetId="4">#REF!</definedName>
    <definedName name="F.E.W_H.S.CLAY">#REF!</definedName>
    <definedName name="F.E.W_S.D.R" localSheetId="16">#REF!</definedName>
    <definedName name="F.E.W_S.D.R" localSheetId="4">#REF!</definedName>
    <definedName name="F.E.W_S.D.R">#REF!</definedName>
    <definedName name="F.E.W_SAND" localSheetId="4">#REF!</definedName>
    <definedName name="F.E.W_SAND">#REF!</definedName>
    <definedName name="fa">35.31*15</definedName>
    <definedName name="fac">0.825</definedName>
    <definedName name="facom">'[36]TBAL9697 -group wise  sdpl'!$A$34</definedName>
    <definedName name="FACP">#REF!</definedName>
    <definedName name="facplc" localSheetId="16">#REF!</definedName>
    <definedName name="facplc">#REF!</definedName>
    <definedName name="Factor">[59]Hardware!#REF!</definedName>
    <definedName name="fadsvcs">[50]Data!#REF!</definedName>
    <definedName name="fafur">'[36]TBAL9697 -group wise  sdpl'!$A$34</definedName>
    <definedName name="Faktor_L_Eigen">#REF!</definedName>
    <definedName name="faofeq">'[36]TBAL9697 -group wise  sdpl'!$A$34</definedName>
    <definedName name="faplm">'[36]TBAL9697 -group wise  sdpl'!$A$34</definedName>
    <definedName name="fapms">'[36]TBAL9697 -group wise  sdpl'!$A$34</definedName>
    <definedName name="fasdf" localSheetId="16">#REF!</definedName>
    <definedName name="fasdf">#REF!</definedName>
    <definedName name="faveh">'[36]TBAL9697 -group wise  sdpl'!$A$34</definedName>
    <definedName name="Fax" localSheetId="16">#REF!</definedName>
    <definedName name="Fax">#REF!</definedName>
    <definedName name="FAXNO">#REF!</definedName>
    <definedName name="Fb" localSheetId="16">#REF!</definedName>
    <definedName name="Fb">#REF!</definedName>
    <definedName name="fbeam" localSheetId="16">#REF!</definedName>
    <definedName name="fbeam">#REF!</definedName>
    <definedName name="FBEAM1">#REF!</definedName>
    <definedName name="fbeam10">#REF!</definedName>
    <definedName name="fbeam101">#REF!</definedName>
    <definedName name="FBEAM12">#REF!</definedName>
    <definedName name="FBEAM13">#REF!</definedName>
    <definedName name="fbeam2">#REF!</definedName>
    <definedName name="FBEAM23">#REF!</definedName>
    <definedName name="fc">#REF!</definedName>
    <definedName name="fcf">#REF!</definedName>
    <definedName name="FCode" hidden="1">#REF!</definedName>
    <definedName name="fd">[60]no.!$U$5:$V$50</definedName>
    <definedName name="fdasdfa">#REF!</definedName>
    <definedName name="fdf">'[24]A.O.R r1Str'!#REF!</definedName>
    <definedName name="fdfg" localSheetId="16">#REF!</definedName>
    <definedName name="fdfg" localSheetId="11">#REF!</definedName>
    <definedName name="fdfg" localSheetId="12">#REF!</definedName>
    <definedName name="fdfg" localSheetId="13">#REF!</definedName>
    <definedName name="fdfg" localSheetId="14">#REF!</definedName>
    <definedName name="fdfg" localSheetId="15">#REF!</definedName>
    <definedName name="fdfg" localSheetId="10">#REF!</definedName>
    <definedName name="fdfg" localSheetId="2">#REF!</definedName>
    <definedName name="fdfg">#REF!</definedName>
    <definedName name="fdmfdf" localSheetId="16">#REF!</definedName>
    <definedName name="fdmfdf">#REF!</definedName>
    <definedName name="fdrop" localSheetId="16">#REF!</definedName>
    <definedName name="fdrop">#REF!</definedName>
    <definedName name="fdrop1">#REF!</definedName>
    <definedName name="fdrop10">#REF!</definedName>
    <definedName name="fdrop101">#REF!</definedName>
    <definedName name="fdrop102">#REF!</definedName>
    <definedName name="FDROP11">#REF!</definedName>
    <definedName name="fdrop111">#REF!</definedName>
    <definedName name="fdrop12">#REF!</definedName>
    <definedName name="FDROP121">#REF!</definedName>
    <definedName name="FDROP13">#REF!</definedName>
    <definedName name="FDROP14">#REF!</definedName>
    <definedName name="FDROP15">#REF!</definedName>
    <definedName name="FDROP16">#REF!</definedName>
    <definedName name="FDROP17">#REF!</definedName>
    <definedName name="FDROP2">#REF!</definedName>
    <definedName name="fdrop3">#REF!</definedName>
    <definedName name="fdsfsd">#REF!</definedName>
    <definedName name="fed">#REF!</definedName>
    <definedName name="fer">#REF!</definedName>
    <definedName name="ff">#REF!</definedName>
    <definedName name="fff">#REF!</definedName>
    <definedName name="ffff">#REF!</definedName>
    <definedName name="FFGB28">#REF!</definedName>
    <definedName name="FFGB5">#REF!</definedName>
    <definedName name="FFGB51" localSheetId="16">'[18]beam-reinft-IIInd floor'!#REF!</definedName>
    <definedName name="FFGB51">#REF!</definedName>
    <definedName name="ffgb52" localSheetId="16">'[60]beam-reinft-IIInd floor'!#REF!</definedName>
    <definedName name="ffgb52">#REF!</definedName>
    <definedName name="FFGB55" localSheetId="16">#REF!</definedName>
    <definedName name="FFGB55">#REF!</definedName>
    <definedName name="FFGB56" localSheetId="16">#REF!</definedName>
    <definedName name="FFGB56">#REF!</definedName>
    <definedName name="FFGB57" localSheetId="16">#REF!</definedName>
    <definedName name="FFGB57">#REF!</definedName>
    <definedName name="FFGB58">#REF!</definedName>
    <definedName name="FFGB59" localSheetId="16">'[15]beam-reinft-machine rm'!#REF!</definedName>
    <definedName name="FFGB59">#REF!</definedName>
    <definedName name="fg" localSheetId="16">#REF!</definedName>
    <definedName name="fg">#REF!</definedName>
    <definedName name="FGDFS">#REF!</definedName>
    <definedName name="fgf" localSheetId="16">#REF!</definedName>
    <definedName name="fgf">#REF!</definedName>
    <definedName name="fgfgfgf" localSheetId="16">[50]Data!#REF!</definedName>
    <definedName name="fgfgfgf">[50]Data!#REF!</definedName>
    <definedName name="fgtyhj" localSheetId="16">#REF!</definedName>
    <definedName name="fgtyhj">#REF!</definedName>
    <definedName name="Fh" localSheetId="16">#REF!</definedName>
    <definedName name="Fh">#REF!</definedName>
    <definedName name="fhf">#REF!</definedName>
    <definedName name="Fhwl" localSheetId="16">#REF!</definedName>
    <definedName name="Fhwl">#REF!</definedName>
    <definedName name="FIFTH">#REF!</definedName>
    <definedName name="file">#REF!</definedName>
    <definedName name="filtermaterial">#REF!</definedName>
    <definedName name="Fin_charges">#REF!</definedName>
    <definedName name="final">#REF!</definedName>
    <definedName name="Final_amount">#REF!</definedName>
    <definedName name="finesand">#REF!</definedName>
    <definedName name="FIRE">#REF!</definedName>
    <definedName name="FIRST_ROW">#N/A</definedName>
    <definedName name="firstValve">#REF!</definedName>
    <definedName name="FirstWarn">#REF!</definedName>
    <definedName name="FiscalIDNum">#REF!</definedName>
    <definedName name="FIT" localSheetId="16">#REF!</definedName>
    <definedName name="FIT">#REF!</definedName>
    <definedName name="FIT___0" localSheetId="16">#REF!</definedName>
    <definedName name="FIT___0">#REF!</definedName>
    <definedName name="FIT___13" localSheetId="16">#REF!</definedName>
    <definedName name="FIT___13">#REF!</definedName>
    <definedName name="Fitter">#REF!</definedName>
    <definedName name="fixed_asset">#REF!</definedName>
    <definedName name="Fixed_Lens">#REF!</definedName>
    <definedName name="Fixed_Lens2">#REF!</definedName>
    <definedName name="FIXTURE" localSheetId="16">[61]Data!$B$3:$B$20</definedName>
    <definedName name="FIXTURE">[62]Data!$B$3:$B$20</definedName>
    <definedName name="fj_100" localSheetId="16">#REF!</definedName>
    <definedName name="fj_100">#REF!</definedName>
    <definedName name="fj_150" localSheetId="16">#REF!</definedName>
    <definedName name="fj_150">#REF!</definedName>
    <definedName name="fj_200" localSheetId="16">#REF!</definedName>
    <definedName name="fj_200">#REF!</definedName>
    <definedName name="fj_25">#REF!</definedName>
    <definedName name="fj_250">#REF!</definedName>
    <definedName name="fj_300">#REF!</definedName>
    <definedName name="fj_32">#REF!</definedName>
    <definedName name="fj_40">#REF!</definedName>
    <definedName name="fj_400">#REF!</definedName>
    <definedName name="fj_50">#REF!</definedName>
    <definedName name="fj_500">#REF!</definedName>
    <definedName name="fj_65">#REF!</definedName>
    <definedName name="fj_80">#REF!</definedName>
    <definedName name="Fl">#REF!</definedName>
    <definedName name="flag1">#REF!</definedName>
    <definedName name="flatstone">#REF!</definedName>
    <definedName name="flf">#REF!</definedName>
    <definedName name="Floor">#REF!</definedName>
    <definedName name="flooring">#REF!</definedName>
    <definedName name="Floorsqty" localSheetId="4">#REF!</definedName>
    <definedName name="Floorsqty">#REF!</definedName>
    <definedName name="Floorsqty_1">#REF!</definedName>
    <definedName name="Floorsqty_16">#REF!</definedName>
    <definedName name="Floorsqty_16_1">#REF!</definedName>
    <definedName name="Floorsqty_17">#REF!</definedName>
    <definedName name="Floorsqty_17_1">#REF!</definedName>
    <definedName name="Floorsqty_18">#REF!</definedName>
    <definedName name="Floorsqty_18_1">#REF!</definedName>
    <definedName name="Floorsqty_19">#REF!</definedName>
    <definedName name="Floorsqty_19_1">#REF!</definedName>
    <definedName name="Floorsqty_4">#REF!</definedName>
    <definedName name="Floorsqty_4_1">#REF!</definedName>
    <definedName name="Floorsqty_5">#REF!</definedName>
    <definedName name="Floorsqty_5_1">#REF!</definedName>
    <definedName name="Floorsqty_6">#REF!</definedName>
    <definedName name="Floorsqty_6_1">#REF!</definedName>
    <definedName name="Floorsqty_7">#REF!</definedName>
    <definedName name="Floorsqty_7_1">#REF!</definedName>
    <definedName name="Floorsqty_8">#REF!</definedName>
    <definedName name="Floorsqty_8_1">#REF!</definedName>
    <definedName name="Floorsqty_9">#REF!</definedName>
    <definedName name="Floorsqty_9_1">#REF!</definedName>
    <definedName name="fm">#REF!</definedName>
    <definedName name="fndsf">#REF!</definedName>
    <definedName name="fnpt">#REF!</definedName>
    <definedName name="fo">#REF!</definedName>
    <definedName name="footing">[63]concrete!$L$65</definedName>
    <definedName name="Footings" localSheetId="16">#REF!</definedName>
    <definedName name="Footings">#REF!</definedName>
    <definedName name="formnote1" localSheetId="16">#REF!</definedName>
    <definedName name="formnote1">#REF!</definedName>
    <definedName name="formnote2" localSheetId="16">#REF!</definedName>
    <definedName name="formnote2">#REF!</definedName>
    <definedName name="formnote3">#REF!</definedName>
    <definedName name="formnote4">#REF!</definedName>
    <definedName name="FormTitle">#REF!</definedName>
    <definedName name="formu">#REF!</definedName>
    <definedName name="Formula1">#REF!</definedName>
    <definedName name="Formula2">#REF!</definedName>
    <definedName name="FormUR">#REF!</definedName>
    <definedName name="formwork">#REF!</definedName>
    <definedName name="Fp">#REF!</definedName>
    <definedName name="Fps">#REF!</definedName>
    <definedName name="Fr_charges">#REF!</definedName>
    <definedName name="Fremd">#REF!</definedName>
    <definedName name="frncis">#REF!</definedName>
    <definedName name="fron11" localSheetId="16">'[9]col-reinft1'!#REF!</definedName>
    <definedName name="fron11">#REF!</definedName>
    <definedName name="front" localSheetId="16">'[8]col-reinft1'!#REF!</definedName>
    <definedName name="front">#REF!</definedName>
    <definedName name="front1" localSheetId="16">'[9]col-reinft1'!#REF!</definedName>
    <definedName name="front1">#REF!</definedName>
    <definedName name="front10" localSheetId="16">'[9]col-reinft1'!#REF!</definedName>
    <definedName name="front10">#REF!</definedName>
    <definedName name="FRONT11" localSheetId="16">'[9]col-reinft1'!#REF!</definedName>
    <definedName name="FRONT11">#REF!</definedName>
    <definedName name="FRONT12" localSheetId="16">'[9]col-reinft1'!#REF!</definedName>
    <definedName name="FRONT12">#REF!</definedName>
    <definedName name="FRONT2" localSheetId="16">'[9]col-reinft1'!#REF!</definedName>
    <definedName name="FRONT2">#REF!</definedName>
    <definedName name="front4" localSheetId="16">'[9]col-reinft1'!#REF!</definedName>
    <definedName name="front4">#REF!</definedName>
    <definedName name="frsixter" localSheetId="16">#REF!</definedName>
    <definedName name="frsixter">#REF!</definedName>
    <definedName name="FRT" localSheetId="16">#REF!</definedName>
    <definedName name="FRT">#REF!</definedName>
    <definedName name="frtenter" localSheetId="16">#REF!</definedName>
    <definedName name="frtenter">#REF!</definedName>
    <definedName name="Fs">#REF!</definedName>
    <definedName name="fsa">#REF!</definedName>
    <definedName name="fsadfsdaf">#REF!</definedName>
    <definedName name="fsf">#REF!</definedName>
    <definedName name="fsfs">#N/A</definedName>
    <definedName name="fsg" localSheetId="16">#REF!</definedName>
    <definedName name="fsg">#REF!</definedName>
    <definedName name="fslab" localSheetId="16">#REF!</definedName>
    <definedName name="fslab">#REF!</definedName>
    <definedName name="FSLAB1" localSheetId="16">#REF!</definedName>
    <definedName name="FSLAB1">#REF!</definedName>
    <definedName name="fslab10">#REF!</definedName>
    <definedName name="fslab11">#REF!</definedName>
    <definedName name="FSLAB12">#REF!</definedName>
    <definedName name="FSLAB13">#REF!</definedName>
    <definedName name="fslab2">#REF!</definedName>
    <definedName name="FSLAB23">#REF!</definedName>
    <definedName name="fssd">#N/A</definedName>
    <definedName name="ftfh" localSheetId="16">#REF!</definedName>
    <definedName name="ftfh" localSheetId="11">#REF!</definedName>
    <definedName name="ftfh" localSheetId="12">#REF!</definedName>
    <definedName name="ftfh" localSheetId="13">#REF!</definedName>
    <definedName name="ftfh" localSheetId="14">#REF!</definedName>
    <definedName name="ftfh" localSheetId="15">#REF!</definedName>
    <definedName name="ftfh" localSheetId="10">#REF!</definedName>
    <definedName name="ftfh" localSheetId="4">#REF!</definedName>
    <definedName name="ftfh" localSheetId="2">#REF!</definedName>
    <definedName name="ftfh">#REF!</definedName>
    <definedName name="ftfh_1" localSheetId="16">#REF!</definedName>
    <definedName name="ftfh_1">#REF!</definedName>
    <definedName name="ftfh_16" localSheetId="16">#REF!</definedName>
    <definedName name="ftfh_16">#REF!</definedName>
    <definedName name="ftfh_16_1">#REF!</definedName>
    <definedName name="ftfh_17">#REF!</definedName>
    <definedName name="ftfh_17_1">#REF!</definedName>
    <definedName name="ftfh_18">#REF!</definedName>
    <definedName name="ftfh_18_1">#REF!</definedName>
    <definedName name="ftfh_19">#REF!</definedName>
    <definedName name="ftfh_19_1">#REF!</definedName>
    <definedName name="ftfh_4">#REF!</definedName>
    <definedName name="ftfh_4_1">#REF!</definedName>
    <definedName name="ftfh_5">#REF!</definedName>
    <definedName name="ftfh_5_1">#REF!</definedName>
    <definedName name="ftfh_6">#REF!</definedName>
    <definedName name="ftfh_6_1">#REF!</definedName>
    <definedName name="ftfh_7">#REF!</definedName>
    <definedName name="ftfh_7_1">#REF!</definedName>
    <definedName name="ftfh_8">#REF!</definedName>
    <definedName name="ftfh_8_1">#REF!</definedName>
    <definedName name="ftfh_9">#REF!</definedName>
    <definedName name="ftfh_9_1">#REF!</definedName>
    <definedName name="ftftf">#REF!</definedName>
    <definedName name="fty">#REF!</definedName>
    <definedName name="ftyu">#REF!</definedName>
    <definedName name="Full_Print">#REF!</definedName>
    <definedName name="fullview">#REF!</definedName>
    <definedName name="furn">#REF!</definedName>
    <definedName name="FURNITURE">#REF!</definedName>
    <definedName name="Fv">#REF!</definedName>
    <definedName name="fvatrp.plg">#REF!</definedName>
    <definedName name="fytyhh">#REF!</definedName>
    <definedName name="G" localSheetId="16">#REF!</definedName>
    <definedName name="g">#REF!</definedName>
    <definedName name="g_13">"$#REF!.$F$#REF!"</definedName>
    <definedName name="g_9">"'file:///E:/Perlos/Revised%20Tender/Perlos%20R1%20With%20VAT%20Nil%20ED%20&amp;%20ST.xls'#$''.$F$4"</definedName>
    <definedName name="gaga" hidden="1">[11]A.O.R.!#REF!</definedName>
    <definedName name="gama" localSheetId="16">#REF!</definedName>
    <definedName name="gama" localSheetId="11">#REF!</definedName>
    <definedName name="gama" localSheetId="12">#REF!</definedName>
    <definedName name="gama" localSheetId="13">#REF!</definedName>
    <definedName name="gama" localSheetId="14">#REF!</definedName>
    <definedName name="gama" localSheetId="15">#REF!</definedName>
    <definedName name="gama" localSheetId="10">#REF!</definedName>
    <definedName name="gama" localSheetId="2">#REF!</definedName>
    <definedName name="gama">#REF!</definedName>
    <definedName name="gamah" localSheetId="16">#REF!</definedName>
    <definedName name="gamah">#REF!</definedName>
    <definedName name="gcl">#REF!</definedName>
    <definedName name="gdgf" localSheetId="16">#REF!</definedName>
    <definedName name="gdgf">#REF!</definedName>
    <definedName name="gdrt">#REF!</definedName>
    <definedName name="ged">#REF!</definedName>
    <definedName name="geeth" localSheetId="16">'[9]col-reinft1'!#REF!</definedName>
    <definedName name="geeth">#REF!</definedName>
    <definedName name="gf">#REF!</definedName>
    <definedName name="GFB">4.2-0.75</definedName>
    <definedName name="gfbeams" localSheetId="16">'[64]beam-reinft'!#REF!</definedName>
    <definedName name="gfbeams">#REF!</definedName>
    <definedName name="gff" localSheetId="16">#REF!</definedName>
    <definedName name="gff">#REF!</definedName>
    <definedName name="gfg">#REF!</definedName>
    <definedName name="gfgfb" localSheetId="16">Scheduled_Payment+Extra_Payment</definedName>
    <definedName name="gfgfb" localSheetId="11">Scheduled_Payment+Extra_Payment</definedName>
    <definedName name="gfgfb" localSheetId="14">Scheduled_Payment+Extra_Payment</definedName>
    <definedName name="gfgfb" localSheetId="15">Scheduled_Payment+Extra_Payment</definedName>
    <definedName name="gfgfb" localSheetId="2">Scheduled_Payment+Extra_Payment</definedName>
    <definedName name="gfgfb" localSheetId="9">Scheduled_Payment+Extra_Payment</definedName>
    <definedName name="gfgfb">Scheduled_Payment+Extra_Payment</definedName>
    <definedName name="gg" localSheetId="16">#REF!</definedName>
    <definedName name="gg" localSheetId="11">#REF!</definedName>
    <definedName name="gg" localSheetId="12">#REF!</definedName>
    <definedName name="gg" localSheetId="13">#REF!</definedName>
    <definedName name="gg" localSheetId="14">#REF!</definedName>
    <definedName name="gg" localSheetId="15">#REF!</definedName>
    <definedName name="gg" localSheetId="10">#REF!</definedName>
    <definedName name="gg" localSheetId="2">#REF!</definedName>
    <definedName name="gg">#REF!</definedName>
    <definedName name="ggg" localSheetId="16">#REF!</definedName>
    <definedName name="ggg">#REF!</definedName>
    <definedName name="gggg" localSheetId="16">#REF!</definedName>
    <definedName name="gggg">#REF!</definedName>
    <definedName name="ggtfgg">#REF!</definedName>
    <definedName name="gh">#REF!</definedName>
    <definedName name="GHDAXGASHD">#N/A</definedName>
    <definedName name="ghg" hidden="1">[11]A.O.R.!#REF!</definedName>
    <definedName name="ghgghgh">[50]Data!#REF!</definedName>
    <definedName name="GHGH">'[65]TBAL9697 -group wise  sdpl'!$A$34</definedName>
    <definedName name="GHJT" localSheetId="16">#REF!</definedName>
    <definedName name="GHJT">#REF!</definedName>
    <definedName name="ghty" localSheetId="16">#REF!</definedName>
    <definedName name="ghty">#REF!</definedName>
    <definedName name="GI">'[47]Factor Sheet'!$D$149</definedName>
    <definedName name="gi_100" localSheetId="16">#REF!</definedName>
    <definedName name="gi_100">#REF!</definedName>
    <definedName name="gi_150" localSheetId="16">#REF!</definedName>
    <definedName name="gi_150">#REF!</definedName>
    <definedName name="gi_200" localSheetId="16">#REF!</definedName>
    <definedName name="gi_200">#REF!</definedName>
    <definedName name="gi_25">#REF!</definedName>
    <definedName name="gi_250">#REF!</definedName>
    <definedName name="gi_300">#REF!</definedName>
    <definedName name="gi_32">#REF!</definedName>
    <definedName name="gi_40">#REF!</definedName>
    <definedName name="gi_400">#REF!</definedName>
    <definedName name="gi_50">#REF!</definedName>
    <definedName name="gi_500">#REF!</definedName>
    <definedName name="gi_600">#REF!</definedName>
    <definedName name="gi_65">#REF!</definedName>
    <definedName name="gi_80">#REF!</definedName>
    <definedName name="gif">#REF!</definedName>
    <definedName name="gil">#REF!</definedName>
    <definedName name="GL">#REF!</definedName>
    <definedName name="glb_100">#REF!</definedName>
    <definedName name="glb_150">#REF!</definedName>
    <definedName name="glb_200">#REF!</definedName>
    <definedName name="glb_25">#REF!</definedName>
    <definedName name="glb_250">#REF!</definedName>
    <definedName name="glb_300">#REF!</definedName>
    <definedName name="glb_32">#REF!</definedName>
    <definedName name="glb_40">#REF!</definedName>
    <definedName name="glb_50">#REF!</definedName>
    <definedName name="glb_65">#REF!</definedName>
    <definedName name="glb_80">#REF!</definedName>
    <definedName name="GlobalConfig">#REF!</definedName>
    <definedName name="GlobalDescr">#REF!</definedName>
    <definedName name="GLs">#REF!</definedName>
    <definedName name="GM" localSheetId="16">'[8]col-reinft1'!#REF!</definedName>
    <definedName name="GM">#REF!</definedName>
    <definedName name="GMAmount">#REF!</definedName>
    <definedName name="GMM" localSheetId="16">'[9]col-reinft1'!#REF!</definedName>
    <definedName name="GMM">#REF!</definedName>
    <definedName name="gmmmm12" localSheetId="16">'[9]col-reinft1'!#REF!</definedName>
    <definedName name="gmmmm12">#REF!</definedName>
    <definedName name="gmmmmm13" localSheetId="16">'[9]col-reinft1'!#REF!</definedName>
    <definedName name="gmmmmm13">#REF!</definedName>
    <definedName name="gmmmmmm2" localSheetId="16">'[9]col-reinft1'!#REF!</definedName>
    <definedName name="gmmmmmm2">#REF!</definedName>
    <definedName name="GMPercent">#REF!</definedName>
    <definedName name="gp" localSheetId="16">#REF!</definedName>
    <definedName name="gp">#REF!</definedName>
    <definedName name="GrandBasic" localSheetId="16">#REF!</definedName>
    <definedName name="GrandBasic">#REF!</definedName>
    <definedName name="GRANO" localSheetId="16">#REF!</definedName>
    <definedName name="GRANO" localSheetId="4">#REF!</definedName>
    <definedName name="GRANO">#REF!</definedName>
    <definedName name="gro">#REF!</definedName>
    <definedName name="GROSS">[66]sheeet7!#REF!</definedName>
    <definedName name="Group">#REF!</definedName>
    <definedName name="Group1" localSheetId="16">#REF!</definedName>
    <definedName name="Group1" localSheetId="11">#REF!</definedName>
    <definedName name="Group1" localSheetId="12">#REF!</definedName>
    <definedName name="Group1" localSheetId="13">#REF!</definedName>
    <definedName name="Group1" localSheetId="14">#REF!</definedName>
    <definedName name="Group1" localSheetId="15">#REF!</definedName>
    <definedName name="Group1" localSheetId="10">#REF!</definedName>
    <definedName name="Group1" localSheetId="2">#REF!</definedName>
    <definedName name="Group1">#REF!</definedName>
    <definedName name="Group2" localSheetId="16">#REF!</definedName>
    <definedName name="Group2">#REF!</definedName>
    <definedName name="Group3" localSheetId="16">#REF!</definedName>
    <definedName name="Group3">#REF!</definedName>
    <definedName name="Group4">#REF!</definedName>
    <definedName name="GroutedRiprap">#REF!</definedName>
    <definedName name="gs">#REF!</definedName>
    <definedName name="gs_13">"$#REF!.$F$1"</definedName>
    <definedName name="gs_9">"'file:///E:/Perlos/Revised%20Tender/Perlos%20R1%20With%20VAT%20Nil%20ED%20&amp;%20ST.xls'#$''.$F$5"</definedName>
    <definedName name="gty">#REF!</definedName>
    <definedName name="gv_100">#REF!</definedName>
    <definedName name="gv_150">#REF!</definedName>
    <definedName name="gv_200">#REF!</definedName>
    <definedName name="gv_25">#REF!</definedName>
    <definedName name="gv_250">#REF!</definedName>
    <definedName name="gv_300">#REF!</definedName>
    <definedName name="gv_32">#REF!</definedName>
    <definedName name="gv_40">#REF!</definedName>
    <definedName name="gv_400">#REF!</definedName>
    <definedName name="gv_50">#REF!</definedName>
    <definedName name="gv_500">#REF!</definedName>
    <definedName name="gv_65">#REF!</definedName>
    <definedName name="gv_80">#REF!</definedName>
    <definedName name="Gw">#REF!</definedName>
    <definedName name="gyhgj">#REF!</definedName>
    <definedName name="H" localSheetId="16">#REF!</definedName>
    <definedName name="H">#REF!</definedName>
    <definedName name="H___0">#REF!</definedName>
    <definedName name="H___13">#REF!</definedName>
    <definedName name="H_1">#N/A</definedName>
    <definedName name="H_2">#N/A</definedName>
    <definedName name="H0" localSheetId="16">#REF!</definedName>
    <definedName name="H0" localSheetId="11">#REF!</definedName>
    <definedName name="H0" localSheetId="12">#REF!</definedName>
    <definedName name="H0" localSheetId="13">#REF!</definedName>
    <definedName name="H0" localSheetId="14">#REF!</definedName>
    <definedName name="H0" localSheetId="15">#REF!</definedName>
    <definedName name="H0" localSheetId="10">#REF!</definedName>
    <definedName name="H0" localSheetId="2">#REF!</definedName>
    <definedName name="H0">#REF!</definedName>
    <definedName name="H0___0" localSheetId="16">#REF!</definedName>
    <definedName name="H0___0">#REF!</definedName>
    <definedName name="H0___13" localSheetId="16">#REF!</definedName>
    <definedName name="H0___13">#REF!</definedName>
    <definedName name="hai">#REF!</definedName>
    <definedName name="HANDL">#REF!</definedName>
    <definedName name="handling">#REF!</definedName>
    <definedName name="HAR">#REF!</definedName>
    <definedName name="HARI">#REF!</definedName>
    <definedName name="has">#REF!</definedName>
    <definedName name="hb" localSheetId="4">#REF!</definedName>
    <definedName name="hb" localSheetId="0">#REF!</definedName>
    <definedName name="HBKJHLA">[67]Cal!$P$2:$Q$28</definedName>
    <definedName name="HDD">#REF!</definedName>
    <definedName name="Header_Row">ROW(#REF!)</definedName>
    <definedName name="HeadWall">#REF!</definedName>
    <definedName name="Height">#REF!</definedName>
    <definedName name="Height_1">#REF!</definedName>
    <definedName name="hexeware">#REF!</definedName>
    <definedName name="hf">#REF!</definedName>
    <definedName name="hh">#REF!</definedName>
    <definedName name="hh___0">#REF!</definedName>
    <definedName name="hh___13">#REF!</definedName>
    <definedName name="HHH">#REF!</definedName>
    <definedName name="hhs">#REF!</definedName>
    <definedName name="hi">#REF!</definedName>
    <definedName name="HiddenRows" hidden="1">#REF!</definedName>
    <definedName name="HINDHUSTAN">#REF!</definedName>
    <definedName name="HIns">#REF!</definedName>
    <definedName name="HintSystem">#REF!</definedName>
    <definedName name="Hirebreak">[22]Boq!#REF!</definedName>
    <definedName name="histogram_data" localSheetId="16">#REF!</definedName>
    <definedName name="histogram_data">#REF!</definedName>
    <definedName name="Hiway">[68]Voucher!$R$1</definedName>
    <definedName name="hj" localSheetId="16">#REF!</definedName>
    <definedName name="hj">#REF!</definedName>
    <definedName name="hjkm" localSheetId="16">#REF!</definedName>
    <definedName name="hjkm">#REF!</definedName>
    <definedName name="hkjy" localSheetId="16">#REF!</definedName>
    <definedName name="hkjy">#REF!</definedName>
    <definedName name="hls">#REF!</definedName>
    <definedName name="ho" localSheetId="16">#REF!</definedName>
    <definedName name="ho">#REF!</definedName>
    <definedName name="ho___0" localSheetId="16">#REF!</definedName>
    <definedName name="ho___0">#REF!</definedName>
    <definedName name="ho___13">#REF!</definedName>
    <definedName name="hoi">#REF!</definedName>
    <definedName name="HOOTER">#REF!</definedName>
    <definedName name="Horn_Speaker">#REF!</definedName>
    <definedName name="HotspareHints">#REF!</definedName>
    <definedName name="Housing_Accessories">#REF!</definedName>
    <definedName name="Housing_Prepacs">#REF!</definedName>
    <definedName name="How_many_floors">#REF!</definedName>
    <definedName name="hS">#REF!</definedName>
    <definedName name="hS___0">#REF!</definedName>
    <definedName name="hS___13">#REF!</definedName>
    <definedName name="HTML_CodePage" hidden="1">1252</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u" localSheetId="16">#REF!</definedName>
    <definedName name="Hu" localSheetId="11">#REF!</definedName>
    <definedName name="Hu" localSheetId="12">#REF!</definedName>
    <definedName name="Hu" localSheetId="13">#REF!</definedName>
    <definedName name="Hu" localSheetId="14">#REF!</definedName>
    <definedName name="Hu" localSheetId="15">#REF!</definedName>
    <definedName name="Hu" localSheetId="10">#REF!</definedName>
    <definedName name="Hu" localSheetId="2">#REF!</definedName>
    <definedName name="Hu">#REF!</definedName>
    <definedName name="Hu___0" localSheetId="16">#REF!</definedName>
    <definedName name="Hu___0">#REF!</definedName>
    <definedName name="Hu___13" localSheetId="16">#REF!</definedName>
    <definedName name="Hu___13">#REF!</definedName>
    <definedName name="HV">#REF!</definedName>
    <definedName name="HVAC">#REF!</definedName>
    <definedName name="hvacrates">#REF!</definedName>
    <definedName name="Hw">#REF!</definedName>
    <definedName name="hw_end">#REF!</definedName>
    <definedName name="hw_start">#REF!</definedName>
    <definedName name="hxb">#REF!</definedName>
    <definedName name="hxi">#REF!</definedName>
    <definedName name="hysd">#REF!</definedName>
    <definedName name="I" localSheetId="16">#REF!</definedName>
    <definedName name="I">#REF!</definedName>
    <definedName name="I.3.b.iii" localSheetId="16">#REF!</definedName>
    <definedName name="I.3.b.iii">#REF!</definedName>
    <definedName name="I.3.b.iv" localSheetId="16">#REF!</definedName>
    <definedName name="I.3.b.iv">#REF!</definedName>
    <definedName name="I.3.c">#REF!</definedName>
    <definedName name="I___0">#REF!</definedName>
    <definedName name="I___13">#REF!</definedName>
    <definedName name="IBS">#REF!</definedName>
    <definedName name="ic">5%</definedName>
    <definedName name="idto">#REF!</definedName>
    <definedName name="If" localSheetId="16">#REF!</definedName>
    <definedName name="If" localSheetId="11">#REF!</definedName>
    <definedName name="If" localSheetId="12">#REF!</definedName>
    <definedName name="If" localSheetId="13">#REF!</definedName>
    <definedName name="If" localSheetId="14">#REF!</definedName>
    <definedName name="If" localSheetId="15">#REF!</definedName>
    <definedName name="If" localSheetId="10">#REF!</definedName>
    <definedName name="If" localSheetId="2">#REF!</definedName>
    <definedName name="If">#REF!</definedName>
    <definedName name="Ig" localSheetId="16">#REF!</definedName>
    <definedName name="Ig">#REF!</definedName>
    <definedName name="Ig___0">#REF!</definedName>
    <definedName name="Ig___13">#REF!</definedName>
    <definedName name="iii">#REF!</definedName>
    <definedName name="iio">#REF!</definedName>
    <definedName name="Ik">#REF!</definedName>
    <definedName name="imp_end">#REF!</definedName>
    <definedName name="imp_start">#REF!</definedName>
    <definedName name="in">#REF!</definedName>
    <definedName name="in_100">#REF!</definedName>
    <definedName name="in_150">#REF!</definedName>
    <definedName name="in_200">#REF!</definedName>
    <definedName name="in_25">#REF!</definedName>
    <definedName name="in_250">#REF!</definedName>
    <definedName name="in_300">#REF!</definedName>
    <definedName name="in_32">#REF!</definedName>
    <definedName name="in_40">#REF!</definedName>
    <definedName name="in_400">#REF!</definedName>
    <definedName name="in_50">#REF!</definedName>
    <definedName name="in_500">#REF!</definedName>
    <definedName name="in_600">#REF!</definedName>
    <definedName name="in_65">#REF!</definedName>
    <definedName name="in_80">#REF!</definedName>
    <definedName name="income">#REF!</definedName>
    <definedName name="Incomer_222222">#REF!</definedName>
    <definedName name="ind">#REF!</definedName>
    <definedName name="indf" localSheetId="4">#REF!</definedName>
    <definedName name="indf">#REF!</definedName>
    <definedName name="indf_1">#REF!</definedName>
    <definedName name="indf_16">#REF!</definedName>
    <definedName name="indf_16_1">#REF!</definedName>
    <definedName name="indf_17">#REF!</definedName>
    <definedName name="indf_17_1">#REF!</definedName>
    <definedName name="indf_18">#REF!</definedName>
    <definedName name="indf_18_1">#REF!</definedName>
    <definedName name="indf_19">#REF!</definedName>
    <definedName name="indf_19_1">#REF!</definedName>
    <definedName name="indf_4">#REF!</definedName>
    <definedName name="indf_4_1">#REF!</definedName>
    <definedName name="indf_5">#REF!</definedName>
    <definedName name="indf_5_1">#REF!</definedName>
    <definedName name="indf_6">#REF!</definedName>
    <definedName name="indf_6_1">#REF!</definedName>
    <definedName name="indf_7">#REF!</definedName>
    <definedName name="indf_7_1">#REF!</definedName>
    <definedName name="indf_8">#REF!</definedName>
    <definedName name="indf_8_1">#REF!</definedName>
    <definedName name="indf_9">#REF!</definedName>
    <definedName name="indf_9_1">#REF!</definedName>
    <definedName name="indu" localSheetId="16">[69]Indices!#REF!</definedName>
    <definedName name="indu">#REF!</definedName>
    <definedName name="INR_Conv">#REF!</definedName>
    <definedName name="inserplate_joint_1" localSheetId="16">#REF!</definedName>
    <definedName name="inserplate_joint_1">#REF!</definedName>
    <definedName name="insert_rows_1" localSheetId="16">'[70]Basement Budget'!#REF!</definedName>
    <definedName name="insert_rows_1">#REF!</definedName>
    <definedName name="installto_add1" localSheetId="16">#REF!</definedName>
    <definedName name="installto_add1" localSheetId="11">#REF!</definedName>
    <definedName name="installto_add1" localSheetId="12">#REF!</definedName>
    <definedName name="installto_add1" localSheetId="13">#REF!</definedName>
    <definedName name="installto_add1" localSheetId="14">#REF!</definedName>
    <definedName name="installto_add1" localSheetId="15">#REF!</definedName>
    <definedName name="installto_add1" localSheetId="10">#REF!</definedName>
    <definedName name="installto_add1" localSheetId="2">#REF!</definedName>
    <definedName name="installto_add1">#REF!</definedName>
    <definedName name="installto_add2" localSheetId="16">#REF!</definedName>
    <definedName name="installto_add2">#REF!</definedName>
    <definedName name="installto_citystatezip" localSheetId="16">#REF!</definedName>
    <definedName name="installto_citystatezip">#REF!</definedName>
    <definedName name="installto_contact">#REF!</definedName>
    <definedName name="installto_phone">#REF!</definedName>
    <definedName name="InstBillingMethod">#REF!</definedName>
    <definedName name="Instf">[45]factors!$J$12</definedName>
    <definedName name="INSURANCE" localSheetId="16">#REF!</definedName>
    <definedName name="INSURANCE">#REF!</definedName>
    <definedName name="Int" localSheetId="16">#REF!</definedName>
    <definedName name="int">#REF!</definedName>
    <definedName name="Int_Finalpay" localSheetId="16">#REF!</definedName>
    <definedName name="Int_Finalpay">#REF!</definedName>
    <definedName name="Int_IntPay">#REF!</definedName>
    <definedName name="Int_MM_MA">#REF!</definedName>
    <definedName name="Int_PG">#REF!</definedName>
    <definedName name="Int_Props">#REF!</definedName>
    <definedName name="Int_Relf_MA">#REF!</definedName>
    <definedName name="Int_RetMonsy">#REF!</definedName>
    <definedName name="Int_WorkingCap">#REF!</definedName>
    <definedName name="INTEREST_CALCULATION">#REF!</definedName>
    <definedName name="INTEREST_LOADING">#REF!</definedName>
    <definedName name="Interest_Rate">#REF!</definedName>
    <definedName name="Interior">#REF!</definedName>
    <definedName name="intpme">#REF!</definedName>
    <definedName name="IntPME_Scaff">#REF!</definedName>
    <definedName name="Inv_Props">#REF!</definedName>
    <definedName name="Inv_Scaff">#REF!</definedName>
    <definedName name="investment">#REF!</definedName>
    <definedName name="INVofPMEScaff">#REF!</definedName>
    <definedName name="Invvalue">#REF!</definedName>
    <definedName name="ioio">#REF!</definedName>
    <definedName name="ioioioo">#REF!</definedName>
    <definedName name="IOLIST" localSheetId="16">'[70]IO LIST'!$A$1:$O$134</definedName>
    <definedName name="IOLIST">'[45]IO LIST'!$A$1:$O$134</definedName>
    <definedName name="ipc" localSheetId="16">#REF!</definedName>
    <definedName name="ipc">#REF!</definedName>
    <definedName name="IPCs" localSheetId="16">#REF!</definedName>
    <definedName name="IPCs">#REF!</definedName>
    <definedName name="ipu" localSheetId="16">#REF!</definedName>
    <definedName name="ipu" localSheetId="11">#REF!</definedName>
    <definedName name="ipu" localSheetId="12">#REF!</definedName>
    <definedName name="ipu" localSheetId="13">#REF!</definedName>
    <definedName name="ipu" localSheetId="14">#REF!</definedName>
    <definedName name="ipu" localSheetId="15">#REF!</definedName>
    <definedName name="ipu" localSheetId="10">#REF!</definedName>
    <definedName name="ipu">#REF!</definedName>
    <definedName name="ipu___0" localSheetId="16">#REF!</definedName>
    <definedName name="ipu___0" localSheetId="11">#REF!</definedName>
    <definedName name="ipu___0" localSheetId="12">#REF!</definedName>
    <definedName name="ipu___0" localSheetId="13">#REF!</definedName>
    <definedName name="ipu___0" localSheetId="14">#REF!</definedName>
    <definedName name="ipu___0" localSheetId="15">#REF!</definedName>
    <definedName name="ipu___0" localSheetId="10">#REF!</definedName>
    <definedName name="ipu___0">#REF!</definedName>
    <definedName name="ipu___13" localSheetId="16">#REF!</definedName>
    <definedName name="ipu___13" localSheetId="11">#REF!</definedName>
    <definedName name="ipu___13" localSheetId="12">#REF!</definedName>
    <definedName name="ipu___13" localSheetId="13">#REF!</definedName>
    <definedName name="ipu___13" localSheetId="14">#REF!</definedName>
    <definedName name="ipu___13" localSheetId="15">#REF!</definedName>
    <definedName name="ipu___13" localSheetId="10">#REF!</definedName>
    <definedName name="ipu___13">#REF!</definedName>
    <definedName name="Iron_Paint" localSheetId="4">#REF!</definedName>
    <definedName name="Iron_Paint">#REF!</definedName>
    <definedName name="Is">#REF!</definedName>
    <definedName name="isec12">#REF!</definedName>
    <definedName name="ISEC22">#REF!</definedName>
    <definedName name="ISEC7">#REF!</definedName>
    <definedName name="isec71">#REF!</definedName>
    <definedName name="ISEC72">#REF!</definedName>
    <definedName name="ISEC77">#REF!</definedName>
    <definedName name="ISEC78">#REF!</definedName>
    <definedName name="isec8">#REF!</definedName>
    <definedName name="iss">#REF!</definedName>
    <definedName name="IT">#REF!</definedName>
    <definedName name="ItemNum">#REF!</definedName>
    <definedName name="iv">#REF!</definedName>
    <definedName name="J">#REF!</definedName>
    <definedName name="J.2">#REF!</definedName>
    <definedName name="J.5">#REF!</definedName>
    <definedName name="jb">#REF!</definedName>
    <definedName name="JCL">#N/A</definedName>
    <definedName name="JEJS" localSheetId="16">#REF!</definedName>
    <definedName name="JEJS" localSheetId="11">#REF!</definedName>
    <definedName name="JEJS" localSheetId="12">#REF!</definedName>
    <definedName name="JEJS" localSheetId="13">#REF!</definedName>
    <definedName name="JEJS" localSheetId="14">#REF!</definedName>
    <definedName name="JEJS" localSheetId="15">#REF!</definedName>
    <definedName name="JEJS" localSheetId="10">#REF!</definedName>
    <definedName name="JEJS" localSheetId="2">#REF!</definedName>
    <definedName name="JEJS">#REF!</definedName>
    <definedName name="JEJS___0" localSheetId="16">#REF!</definedName>
    <definedName name="JEJS___0">#REF!</definedName>
    <definedName name="JEJS___11" localSheetId="16">#REF!</definedName>
    <definedName name="JEJS___11">#REF!</definedName>
    <definedName name="JEJS___12">#REF!</definedName>
    <definedName name="JEJS___13">#REF!</definedName>
    <definedName name="JEJS___4">#REF!</definedName>
    <definedName name="JH" localSheetId="16">Scheduled_Payment+Extra_Payment</definedName>
    <definedName name="JH" localSheetId="11">Scheduled_Payment+Extra_Payment</definedName>
    <definedName name="JH" localSheetId="14">Scheduled_Payment+Extra_Payment</definedName>
    <definedName name="JH" localSheetId="15">Scheduled_Payment+Extra_Payment</definedName>
    <definedName name="JH" localSheetId="2">Scheduled_Payment+Extra_Payment</definedName>
    <definedName name="JH" localSheetId="9">Scheduled_Payment+Extra_Payment</definedName>
    <definedName name="JH">Scheduled_Payment+Extra_Payment</definedName>
    <definedName name="jk" localSheetId="16">#REF!</definedName>
    <definedName name="jk" localSheetId="2">#REF!</definedName>
    <definedName name="jk">#REF!</definedName>
    <definedName name="jkhjkhdg">[67]Data!$J$2</definedName>
    <definedName name="jkjkjkj" localSheetId="16">#REF!</definedName>
    <definedName name="jkjkjkj">#REF!</definedName>
    <definedName name="jkl" localSheetId="16">#REF!</definedName>
    <definedName name="jkl">#REF!</definedName>
    <definedName name="job" localSheetId="16">#REF!</definedName>
    <definedName name="job">#REF!</definedName>
    <definedName name="job___0">#REF!</definedName>
    <definedName name="job___11">#REF!</definedName>
    <definedName name="job___12">#REF!</definedName>
    <definedName name="JobID">#REF!</definedName>
    <definedName name="JobID_13">"$#REF!.$B$#REF!"</definedName>
    <definedName name="JobID_9">"'file:///E:/Perlos/Revised%20Tender/Perlos%20R1%20With%20VAT%20Nil%20ED%20&amp;%20ST.xls'#$''.$B$4"</definedName>
    <definedName name="JobName">#REF!</definedName>
    <definedName name="JobNo">#REF!</definedName>
    <definedName name="Jobtypes">[71]FORM7!$R$3:$S$7</definedName>
    <definedName name="Jobtypes_3">[72]FORM7!$R$3:$S$7</definedName>
    <definedName name="jyuy" localSheetId="16">#REF!</definedName>
    <definedName name="jyuy" localSheetId="11">#REF!</definedName>
    <definedName name="jyuy" localSheetId="12">#REF!</definedName>
    <definedName name="jyuy" localSheetId="13">#REF!</definedName>
    <definedName name="jyuy" localSheetId="14">#REF!</definedName>
    <definedName name="jyuy" localSheetId="15">#REF!</definedName>
    <definedName name="jyuy" localSheetId="10">#REF!</definedName>
    <definedName name="jyuy" localSheetId="2">#REF!</definedName>
    <definedName name="jyuy">#REF!</definedName>
    <definedName name="K" localSheetId="16">#REF!</definedName>
    <definedName name="K">#REF!</definedName>
    <definedName name="K___0" localSheetId="16">#REF!</definedName>
    <definedName name="K___0">#REF!</definedName>
    <definedName name="K___13">#REF!</definedName>
    <definedName name="k1_table">#REF!</definedName>
    <definedName name="k1_table_13">"$#REF!.$E$3:$F$8"</definedName>
    <definedName name="k1_table_9">"'file:///E:/Perlos/Revised%20Tender/Perlos%20R1%20With%20VAT%20Nil%20ED%20&amp;%20ST.xls'#$''.$E$9:$F$18"</definedName>
    <definedName name="k1s">#REF!</definedName>
    <definedName name="k1x" localSheetId="16">[73]Design!#REF!</definedName>
    <definedName name="k1x">#REF!</definedName>
    <definedName name="k1y" localSheetId="16">[73]Design!#REF!</definedName>
    <definedName name="k1y">#REF!</definedName>
    <definedName name="k2s" localSheetId="16">#REF!</definedName>
    <definedName name="k2s">#REF!</definedName>
    <definedName name="k2x" localSheetId="16">[73]Design!#REF!</definedName>
    <definedName name="k2x">#REF!</definedName>
    <definedName name="k2y" localSheetId="16">[73]Design!#REF!</definedName>
    <definedName name="k2y">#REF!</definedName>
    <definedName name="ka" localSheetId="16">#REF!</definedName>
    <definedName name="ka" localSheetId="11">#REF!</definedName>
    <definedName name="ka" localSheetId="12">#REF!</definedName>
    <definedName name="ka" localSheetId="13">#REF!</definedName>
    <definedName name="ka" localSheetId="14">#REF!</definedName>
    <definedName name="ka" localSheetId="15">#REF!</definedName>
    <definedName name="ka" localSheetId="10">#REF!</definedName>
    <definedName name="ka" localSheetId="2">#REF!</definedName>
    <definedName name="ka">#REF!</definedName>
    <definedName name="kal" localSheetId="16">#REF!</definedName>
    <definedName name="kal">#REF!</definedName>
    <definedName name="KARNA" localSheetId="16">#REF!</definedName>
    <definedName name="KARNA">#REF!</definedName>
    <definedName name="kb">#REF!</definedName>
    <definedName name="kc">#REF!</definedName>
    <definedName name="kcf">#REF!</definedName>
    <definedName name="key" hidden="1">#REF!</definedName>
    <definedName name="Kh">#REF!</definedName>
    <definedName name="Kh___0">#REF!</definedName>
    <definedName name="Kh___13">#REF!</definedName>
    <definedName name="khd" localSheetId="4">#REF!</definedName>
    <definedName name="khd">#REF!</definedName>
    <definedName name="khd_1">#REF!</definedName>
    <definedName name="khd_16">#REF!</definedName>
    <definedName name="khd_16_1">#REF!</definedName>
    <definedName name="khd_17">#REF!</definedName>
    <definedName name="khd_17_1">#REF!</definedName>
    <definedName name="khd_18">#REF!</definedName>
    <definedName name="khd_18_1">#REF!</definedName>
    <definedName name="khd_19">#REF!</definedName>
    <definedName name="khd_19_1">#REF!</definedName>
    <definedName name="khd_4">#REF!</definedName>
    <definedName name="khd_4_1">#REF!</definedName>
    <definedName name="khd_5">#REF!</definedName>
    <definedName name="khd_5_1">#REF!</definedName>
    <definedName name="khd_6">#REF!</definedName>
    <definedName name="khd_6_1">#REF!</definedName>
    <definedName name="khd_7">#REF!</definedName>
    <definedName name="khd_7_1">#REF!</definedName>
    <definedName name="khd_8">#REF!</definedName>
    <definedName name="khd_8_1">#REF!</definedName>
    <definedName name="khd_9">#REF!</definedName>
    <definedName name="khd_9_1">#REF!</definedName>
    <definedName name="khf" localSheetId="4">#REF!</definedName>
    <definedName name="khf">#REF!</definedName>
    <definedName name="khf_1">#REF!</definedName>
    <definedName name="khf_16">#REF!</definedName>
    <definedName name="khf_16_1">#REF!</definedName>
    <definedName name="khf_17">#REF!</definedName>
    <definedName name="khf_17_1">#REF!</definedName>
    <definedName name="khf_18">#REF!</definedName>
    <definedName name="khf_18_1">#REF!</definedName>
    <definedName name="khf_19">#REF!</definedName>
    <definedName name="khf_19_1">#REF!</definedName>
    <definedName name="khf_4">#REF!</definedName>
    <definedName name="khf_4_1">#REF!</definedName>
    <definedName name="khf_5">#REF!</definedName>
    <definedName name="khf_5_1">#REF!</definedName>
    <definedName name="khf_6">#REF!</definedName>
    <definedName name="khf_6_1">#REF!</definedName>
    <definedName name="khf_7">#REF!</definedName>
    <definedName name="khf_7_1">#REF!</definedName>
    <definedName name="khf_8">#REF!</definedName>
    <definedName name="khf_8_1">#REF!</definedName>
    <definedName name="khf_9">#REF!</definedName>
    <definedName name="khf_9_1">#REF!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JGLG">#REF!</definedName>
    <definedName name="kjl">#REF!</definedName>
    <definedName name="kk">#REF!</definedName>
    <definedName name="kl">'[24]A.O.R r1'!#REF!</definedName>
    <definedName name="klj">[66]sheeet7!#REF!</definedName>
    <definedName name="kll" localSheetId="16">#REF!</definedName>
    <definedName name="kll">#REF!</definedName>
    <definedName name="klnio" localSheetId="16">#REF!</definedName>
    <definedName name="klnio">#REF!</definedName>
    <definedName name="klp" localSheetId="16">#REF!</definedName>
    <definedName name="klp">#REF!</definedName>
    <definedName name="kls">#REF!</definedName>
    <definedName name="KLUM">'[2]p&amp;m'!#REF!</definedName>
    <definedName name="Km" localSheetId="16">#REF!</definedName>
    <definedName name="Km" localSheetId="11">#REF!</definedName>
    <definedName name="Km" localSheetId="12">#REF!</definedName>
    <definedName name="Km" localSheetId="13">#REF!</definedName>
    <definedName name="Km" localSheetId="14">#REF!</definedName>
    <definedName name="Km" localSheetId="15">#REF!</definedName>
    <definedName name="Km" localSheetId="10">#REF!</definedName>
    <definedName name="Km" localSheetId="2">#REF!</definedName>
    <definedName name="Km">#REF!</definedName>
    <definedName name="Km___0" localSheetId="16">#REF!</definedName>
    <definedName name="Km___0">#REF!</definedName>
    <definedName name="Km___13" localSheetId="16">#REF!</definedName>
    <definedName name="Km___13">#REF!</definedName>
    <definedName name="KOTA_STONE" localSheetId="4">#REF!</definedName>
    <definedName name="KOTA_STONE">#REF!</definedName>
    <definedName name="Ks">#REF!</definedName>
    <definedName name="Ks___0">#REF!</definedName>
    <definedName name="Ks___13">#REF!</definedName>
    <definedName name="ksd" localSheetId="4">#REF!</definedName>
    <definedName name="ksd">#REF!</definedName>
    <definedName name="ksd_1">#REF!</definedName>
    <definedName name="ksd_16">#REF!</definedName>
    <definedName name="ksd_16_1">#REF!</definedName>
    <definedName name="ksd_17">#REF!</definedName>
    <definedName name="ksd_17_1">#REF!</definedName>
    <definedName name="ksd_18">#REF!</definedName>
    <definedName name="ksd_18_1">#REF!</definedName>
    <definedName name="ksd_19">#REF!</definedName>
    <definedName name="ksd_19_1">#REF!</definedName>
    <definedName name="ksd_4">#REF!</definedName>
    <definedName name="ksd_4_1">#REF!</definedName>
    <definedName name="ksd_5">#REF!</definedName>
    <definedName name="ksd_5_1">#REF!</definedName>
    <definedName name="ksd_6">#REF!</definedName>
    <definedName name="ksd_6_1">#REF!</definedName>
    <definedName name="ksd_7">#REF!</definedName>
    <definedName name="ksd_7_1">#REF!</definedName>
    <definedName name="ksd_8">#REF!</definedName>
    <definedName name="ksd_8_1">#REF!</definedName>
    <definedName name="ksd_9">#REF!</definedName>
    <definedName name="ksd_9_1">#REF!</definedName>
    <definedName name="ksf" localSheetId="4">#REF!</definedName>
    <definedName name="ksf">#REF!</definedName>
    <definedName name="ksf_1">#REF!</definedName>
    <definedName name="ksf_16">#REF!</definedName>
    <definedName name="ksf_16_1">#REF!</definedName>
    <definedName name="ksf_17">#REF!</definedName>
    <definedName name="ksf_17_1">#REF!</definedName>
    <definedName name="ksf_18">#REF!</definedName>
    <definedName name="ksf_18_1">#REF!</definedName>
    <definedName name="ksf_19">#REF!</definedName>
    <definedName name="ksf_19_1">#REF!</definedName>
    <definedName name="ksf_4">#REF!</definedName>
    <definedName name="ksf_4_1">#REF!</definedName>
    <definedName name="ksf_5">#REF!</definedName>
    <definedName name="ksf_5_1">#REF!</definedName>
    <definedName name="ksf_6">#REF!</definedName>
    <definedName name="ksf_6_1">#REF!</definedName>
    <definedName name="ksf_7">#REF!</definedName>
    <definedName name="ksf_7_1">#REF!</definedName>
    <definedName name="ksf_8">#REF!</definedName>
    <definedName name="ksf_8_1">#REF!</definedName>
    <definedName name="ksf_9">#REF!</definedName>
    <definedName name="ksf_9_1">#REF!</definedName>
    <definedName name="KurFarki">#REF!</definedName>
    <definedName name="L" localSheetId="16">#REF!</definedName>
    <definedName name="L">#REF!</definedName>
    <definedName name="L.WALL" localSheetId="16">#REF!</definedName>
    <definedName name="L.WALL">#REF!</definedName>
    <definedName name="L___0">#REF!</definedName>
    <definedName name="L___13">#REF!</definedName>
    <definedName name="L1L" localSheetId="16">[74]PS1!#REF!</definedName>
    <definedName name="L1L">[74]PS1!#REF!</definedName>
    <definedName name="L1Q" localSheetId="16">[74]PS1!#REF!</definedName>
    <definedName name="L1Q">[74]PS1!#REF!</definedName>
    <definedName name="L2L" localSheetId="16">[74]PS1!#REF!</definedName>
    <definedName name="L2L">[74]PS1!#REF!</definedName>
    <definedName name="L2Q" localSheetId="16">[74]PS1!#REF!</definedName>
    <definedName name="L2Q">[74]PS1!#REF!</definedName>
    <definedName name="L3L" localSheetId="16">[74]PS1!#REF!</definedName>
    <definedName name="L3L">[74]PS1!#REF!</definedName>
    <definedName name="L3Q" localSheetId="16">[74]PS1!#REF!</definedName>
    <definedName name="L3Q">[74]PS1!#REF!</definedName>
    <definedName name="L4L" localSheetId="16">[74]PS1!#REF!</definedName>
    <definedName name="L4L">[74]PS1!#REF!</definedName>
    <definedName name="L4Q" localSheetId="16">[74]PS1!#REF!</definedName>
    <definedName name="L4Q">[74]PS1!#REF!</definedName>
    <definedName name="L5L" localSheetId="16">[74]PS1!#REF!</definedName>
    <definedName name="L5L">[74]PS1!#REF!</definedName>
    <definedName name="L5Q" localSheetId="16">[74]PS1!#REF!</definedName>
    <definedName name="L5Q">[74]PS1!#REF!</definedName>
    <definedName name="L8L" localSheetId="16">[74]PS1!#REF!</definedName>
    <definedName name="L8L">[74]PS1!#REF!</definedName>
    <definedName name="L8Q" localSheetId="16">[74]PS1!#REF!</definedName>
    <definedName name="L8Q">[74]PS1!#REF!</definedName>
    <definedName name="L9L" localSheetId="16">[74]PS1!#REF!</definedName>
    <definedName name="L9L">[74]PS1!#REF!</definedName>
    <definedName name="L9Q" localSheetId="16">[74]PS1!#REF!</definedName>
    <definedName name="L9Q">[74]PS1!#REF!</definedName>
    <definedName name="LA" localSheetId="16">#REF!</definedName>
    <definedName name="LA" localSheetId="11">#REF!</definedName>
    <definedName name="LA" localSheetId="12">#REF!</definedName>
    <definedName name="LA" localSheetId="13">#REF!</definedName>
    <definedName name="LA" localSheetId="14">#REF!</definedName>
    <definedName name="LA" localSheetId="15">#REF!</definedName>
    <definedName name="LA" localSheetId="10">#REF!</definedName>
    <definedName name="LA" localSheetId="2">#REF!</definedName>
    <definedName name="LA">#REF!</definedName>
    <definedName name="LABORATORY_EQUIPMENTS___MISC._TOOLS" localSheetId="16">#REF!</definedName>
    <definedName name="LABORATORY_EQUIPMENTS___MISC._TOOLS">#REF!</definedName>
    <definedName name="LABOUR_HUTS" localSheetId="16">#REF!</definedName>
    <definedName name="LABOUR_HUTS">#REF!</definedName>
    <definedName name="LAC">[75]S2groupcode!$G$2</definedName>
    <definedName name="Lac_Polish" localSheetId="16">#REF!</definedName>
    <definedName name="Lac_Polish" localSheetId="4">#REF!</definedName>
    <definedName name="Lac_Polish">#REF!</definedName>
    <definedName name="LACS">[76]PLAN_FEB97!$A$2</definedName>
    <definedName name="lakh">[77]dBase!$J$12</definedName>
    <definedName name="LAMP" localSheetId="16">#REF!</definedName>
    <definedName name="LAMP" localSheetId="11">#REF!</definedName>
    <definedName name="LAMP" localSheetId="12">#REF!</definedName>
    <definedName name="LAMP" localSheetId="13">#REF!</definedName>
    <definedName name="LAMP" localSheetId="14">#REF!</definedName>
    <definedName name="LAMP" localSheetId="15">#REF!</definedName>
    <definedName name="LAMP" localSheetId="10">#REF!</definedName>
    <definedName name="LAMP" localSheetId="2">#REF!</definedName>
    <definedName name="LAMP">#REF!</definedName>
    <definedName name="LAMP___0" localSheetId="16">#REF!</definedName>
    <definedName name="LAMP___0">#REF!</definedName>
    <definedName name="LAMP___13" localSheetId="16">#REF!</definedName>
    <definedName name="LAMP___13">#REF!</definedName>
    <definedName name="Land_adv">#REF!</definedName>
    <definedName name="landacqcost">#REF!</definedName>
    <definedName name="Last_Row">#N/A</definedName>
    <definedName name="Last_Row_1">#N/A</definedName>
    <definedName name="Last_Row_2">#N/A</definedName>
    <definedName name="Lc" localSheetId="16">#REF!</definedName>
    <definedName name="Lc" localSheetId="11">#REF!</definedName>
    <definedName name="Lc" localSheetId="12">#REF!</definedName>
    <definedName name="Lc" localSheetId="13">#REF!</definedName>
    <definedName name="Lc" localSheetId="14">#REF!</definedName>
    <definedName name="Lc" localSheetId="15">#REF!</definedName>
    <definedName name="Lc" localSheetId="10">#REF!</definedName>
    <definedName name="Lc" localSheetId="2">#REF!</definedName>
    <definedName name="Lc">#REF!</definedName>
    <definedName name="Lc___0" localSheetId="16">#REF!</definedName>
    <definedName name="Lc___0">#REF!</definedName>
    <definedName name="Lc___13" localSheetId="16">#REF!</definedName>
    <definedName name="Lc___13">#REF!</definedName>
    <definedName name="lc1i4f">#REF!</definedName>
    <definedName name="lc1i5f">#REF!</definedName>
    <definedName name="lc2i1bc8f">#REF!</definedName>
    <definedName name="lc350mcbc">#REF!</definedName>
    <definedName name="lc350mcfdr">#REF!</definedName>
    <definedName name="lc350mcic">#REF!</definedName>
    <definedName name="lc350pcfdr">#REF!</definedName>
    <definedName name="lc350pcic">#REF!</definedName>
    <definedName name="lc500mcbc">#REF!</definedName>
    <definedName name="lc500mcfdr">#REF!</definedName>
    <definedName name="lc500mcic">#REF!</definedName>
    <definedName name="lcabbbc">#REF!</definedName>
    <definedName name="lcabbfdr">#REF!</definedName>
    <definedName name="LCAR100">#REF!</definedName>
    <definedName name="lcs">#REF!</definedName>
    <definedName name="ldb">#REF!</definedName>
    <definedName name="Lead">#REF!</definedName>
    <definedName name="LeanConcrete">#REF!</definedName>
    <definedName name="lef">#REF!</definedName>
    <definedName name="lef_13">"$#REF!.$I$43"</definedName>
    <definedName name="lef_9">"'file:///E:/Perlos/Revised%20Tender/Perlos%20R1%20With%20VAT%20Nil%20ED%20&amp;%20ST.xls'#$''.$I$61"</definedName>
    <definedName name="lel" localSheetId="16">#REF!</definedName>
    <definedName name="lel" localSheetId="11">#REF!</definedName>
    <definedName name="lel" localSheetId="12">#REF!</definedName>
    <definedName name="lel" localSheetId="13">#REF!</definedName>
    <definedName name="lel" localSheetId="14">#REF!</definedName>
    <definedName name="lel" localSheetId="15">#REF!</definedName>
    <definedName name="lel" localSheetId="10">#REF!</definedName>
    <definedName name="lel" localSheetId="2">#REF!</definedName>
    <definedName name="lel">#REF!</definedName>
    <definedName name="lel_13">"$#REF!.$I$44"</definedName>
    <definedName name="lel_9">"'file:///E:/Perlos/Revised%20Tender/Perlos%20R1%20With%20VAT%20Nil%20ED%20&amp;%20ST.xls'#$''.$I$62"</definedName>
    <definedName name="len" localSheetId="16">#REF!</definedName>
    <definedName name="len" localSheetId="11">#REF!</definedName>
    <definedName name="len" localSheetId="12">#REF!</definedName>
    <definedName name="len" localSheetId="13">#REF!</definedName>
    <definedName name="len" localSheetId="14">#REF!</definedName>
    <definedName name="len" localSheetId="15">#REF!</definedName>
    <definedName name="len" localSheetId="10">#REF!</definedName>
    <definedName name="len" localSheetId="2">#REF!</definedName>
    <definedName name="len">#REF!</definedName>
    <definedName name="Length" localSheetId="16">#REF!</definedName>
    <definedName name="Length">#REF!</definedName>
    <definedName name="Length_1" localSheetId="16">#REF!</definedName>
    <definedName name="Length_1">#REF!</definedName>
    <definedName name="levelling">#REF!</definedName>
    <definedName name="lii">#REF!</definedName>
    <definedName name="limcount" hidden="1">1</definedName>
    <definedName name="lll">[74]PS1!#REF!</definedName>
    <definedName name="lllq">[74]PS1!#REF!</definedName>
    <definedName name="LMPRT">[37]R2!$F$39:$F$86</definedName>
    <definedName name="LMPSUM">[37]R2!$G$87</definedName>
    <definedName name="LMPTOT">[37]R2!$C$5</definedName>
    <definedName name="Loan_Amount" localSheetId="16">#REF!</definedName>
    <definedName name="Loan_Amount">#REF!</definedName>
    <definedName name="Loan_Start" localSheetId="16">#REF!</definedName>
    <definedName name="Loan_Start">#REF!</definedName>
    <definedName name="Loan_Years" localSheetId="16">#REF!</definedName>
    <definedName name="Loan_Years">#REF!</definedName>
    <definedName name="loans_adv">#REF!</definedName>
    <definedName name="Location">#N/A</definedName>
    <definedName name="look">#REF!</definedName>
    <definedName name="LOP" localSheetId="16">#REF!</definedName>
    <definedName name="LOP">#REF!</definedName>
    <definedName name="Lr" localSheetId="16">#REF!</definedName>
    <definedName name="Lr" localSheetId="11">#REF!</definedName>
    <definedName name="Lr" localSheetId="12">#REF!</definedName>
    <definedName name="Lr" localSheetId="13">#REF!</definedName>
    <definedName name="Lr" localSheetId="14">#REF!</definedName>
    <definedName name="Lr" localSheetId="15">#REF!</definedName>
    <definedName name="Lr" localSheetId="10">#REF!</definedName>
    <definedName name="Lr">#REF!</definedName>
    <definedName name="Lr___0" localSheetId="16">#REF!</definedName>
    <definedName name="Lr___0" localSheetId="11">#REF!</definedName>
    <definedName name="Lr___0" localSheetId="12">#REF!</definedName>
    <definedName name="Lr___0" localSheetId="13">#REF!</definedName>
    <definedName name="Lr___0" localSheetId="14">#REF!</definedName>
    <definedName name="Lr___0" localSheetId="15">#REF!</definedName>
    <definedName name="Lr___0" localSheetId="10">#REF!</definedName>
    <definedName name="Lr___0">#REF!</definedName>
    <definedName name="Lr___13" localSheetId="16">#REF!</definedName>
    <definedName name="Lr___13" localSheetId="11">#REF!</definedName>
    <definedName name="Lr___13" localSheetId="12">#REF!</definedName>
    <definedName name="Lr___13" localSheetId="13">#REF!</definedName>
    <definedName name="Lr___13" localSheetId="14">#REF!</definedName>
    <definedName name="Lr___13" localSheetId="15">#REF!</definedName>
    <definedName name="Lr___13" localSheetId="10">#REF!</definedName>
    <definedName name="Lr___13">#REF!</definedName>
    <definedName name="ls">#REF!</definedName>
    <definedName name="LSD_4100">#REF!</definedName>
    <definedName name="lsec">#REF!</definedName>
    <definedName name="Lsec1">#REF!</definedName>
    <definedName name="lsec12">#REF!</definedName>
    <definedName name="LSEC13">#REF!</definedName>
    <definedName name="Lsec2">#REF!</definedName>
    <definedName name="lsec22">#REF!</definedName>
    <definedName name="LSEC23">#REF!</definedName>
    <definedName name="Lsec3">#REF!</definedName>
    <definedName name="LSEC31">#REF!</definedName>
    <definedName name="lsec33">#REF!</definedName>
    <definedName name="Lsec4">#REF!</definedName>
    <definedName name="LSEC45">#REF!</definedName>
    <definedName name="Lsec5">#REF!</definedName>
    <definedName name="LSEC54">#REF!</definedName>
    <definedName name="lsec55">#REF!</definedName>
    <definedName name="Lsec6">#REF!</definedName>
    <definedName name="lsec66">#REF!</definedName>
    <definedName name="LSEC67">#REF!</definedName>
    <definedName name="lsec7">#REF!</definedName>
    <definedName name="lsec77">#REF!</definedName>
    <definedName name="LSNO1">[78]Lead!$N$6</definedName>
    <definedName name="LSNO12">[50]Lead!#REF!</definedName>
    <definedName name="LSNO13">[78]Lead!$N$10</definedName>
    <definedName name="LSNO14">[78]Lead!$N$11</definedName>
    <definedName name="LSNO15">[50]Lead!#REF!</definedName>
    <definedName name="LSNO17">[50]Lead!#REF!</definedName>
    <definedName name="LSNO2">[79]Lead!$P$7</definedName>
    <definedName name="LSNO21">[50]Lead!#REF!</definedName>
    <definedName name="LSNO23">[80]Lead!$P$31</definedName>
    <definedName name="LSNO24">[50]Lead!#REF!</definedName>
    <definedName name="LSNO25">[79]Lead!$P$32</definedName>
    <definedName name="LSNO26">[50]Lead!#REF!</definedName>
    <definedName name="LSNO27">[50]Lead!#REF!</definedName>
    <definedName name="LSNO28">[50]Lead!#REF!</definedName>
    <definedName name="LSNO29">[50]Lead!#REF!</definedName>
    <definedName name="LSNO3">[78]Lead!$N$8</definedName>
    <definedName name="LSNO30">[50]Lead!#REF!</definedName>
    <definedName name="LSNO31">[50]Lead!#REF!</definedName>
    <definedName name="LSNO32">[50]Lead!#REF!</definedName>
    <definedName name="LSNO33">[50]Lead!#REF!</definedName>
    <definedName name="LSNO34">[50]Lead!#REF!</definedName>
    <definedName name="LSNO35">[50]Lead!#REF!</definedName>
    <definedName name="LSNO36">[50]Lead!#REF!</definedName>
    <definedName name="LSNO4">[78]Lead!$N$9</definedName>
    <definedName name="LSNO7">[50]Lead!#REF!</definedName>
    <definedName name="LSNO9">[50]Lead!#REF!</definedName>
    <definedName name="LSR">#REF!</definedName>
    <definedName name="lstf">#REF!</definedName>
    <definedName name="ltf" localSheetId="16">#REF!</definedName>
    <definedName name="ltf" localSheetId="4">#REF!</definedName>
    <definedName name="ltf">#REF!</definedName>
    <definedName name="ltf_1" localSheetId="16">#REF!</definedName>
    <definedName name="ltf_1">#REF!</definedName>
    <definedName name="ltf_16" localSheetId="16">#REF!</definedName>
    <definedName name="ltf_16">#REF!</definedName>
    <definedName name="ltf_16_1">#REF!</definedName>
    <definedName name="ltf_17">#REF!</definedName>
    <definedName name="ltf_17_1">#REF!</definedName>
    <definedName name="ltf_18">#REF!</definedName>
    <definedName name="ltf_18_1">#REF!</definedName>
    <definedName name="ltf_19">#REF!</definedName>
    <definedName name="ltf_19_1">#REF!</definedName>
    <definedName name="ltf_4">#REF!</definedName>
    <definedName name="ltf_4_1">#REF!</definedName>
    <definedName name="ltf_5">#REF!</definedName>
    <definedName name="ltf_5_1">#REF!</definedName>
    <definedName name="ltf_6">#REF!</definedName>
    <definedName name="ltf_6_1">#REF!</definedName>
    <definedName name="ltf_7">#REF!</definedName>
    <definedName name="ltf_7_1">#REF!</definedName>
    <definedName name="ltf_8">#REF!</definedName>
    <definedName name="ltf_8_1">#REF!</definedName>
    <definedName name="ltf_9">#REF!</definedName>
    <definedName name="ltf_9_1">#REF!</definedName>
    <definedName name="ltpt">#REF!</definedName>
    <definedName name="LUMEN">#REF!</definedName>
    <definedName name="LUMEN___0">#REF!</definedName>
    <definedName name="LUMEN___13">#REF!</definedName>
    <definedName name="Lump_Sum_Discount">#REF!</definedName>
    <definedName name="LUX">#REF!</definedName>
    <definedName name="LUX___0">#REF!</definedName>
    <definedName name="LUX___13">#REF!</definedName>
    <definedName name="Lx">#REF!</definedName>
    <definedName name="Lx___0">#REF!</definedName>
    <definedName name="Lx___13">#REF!</definedName>
    <definedName name="m" localSheetId="16">#REF!</definedName>
    <definedName name="m">#REF!</definedName>
    <definedName name="M.S.Grill" localSheetId="16">#REF!</definedName>
    <definedName name="M.S.Grill" localSheetId="4">#REF!</definedName>
    <definedName name="M.S.Grill">#REF!</definedName>
    <definedName name="m___0">#REF!</definedName>
    <definedName name="m___13">#REF!</definedName>
    <definedName name="M_25_box_Culvert">#REF!</definedName>
    <definedName name="m10_foundation">#REF!</definedName>
    <definedName name="M103xN103">'[81]p&amp;m'!#REF!</definedName>
    <definedName name="M15_Metal20mm">'[82]Rate Analysis'!$D$313</definedName>
    <definedName name="M15_Sand">'[82]Rate Analysis'!$D$312</definedName>
    <definedName name="m15cem">[1]Analysis!$D$311</definedName>
    <definedName name="m15flooring" localSheetId="16">#REF!</definedName>
    <definedName name="m15flooring">#REF!</definedName>
    <definedName name="M1x" localSheetId="16">[73]Design!#REF!</definedName>
    <definedName name="M1x">#REF!</definedName>
    <definedName name="M1y" localSheetId="16">[73]Design!#REF!</definedName>
    <definedName name="M1y">#REF!</definedName>
    <definedName name="M20_Metal20mm">'[82]Rate Analysis'!$D$345</definedName>
    <definedName name="M20_sand">'[82]Rate Analysis'!$D$333</definedName>
    <definedName name="m20_sub" localSheetId="16">#REF!</definedName>
    <definedName name="m20_sub">#REF!</definedName>
    <definedName name="m20metal20">[1]Analysis!$D$345</definedName>
    <definedName name="m20sand">[1]Analysis!$D$333</definedName>
    <definedName name="M25_cement">'[82]Rate Analysis'!$D$343</definedName>
    <definedName name="M25_Metal20mm">'[82]Rate Analysis'!$D$345</definedName>
    <definedName name="M25_sand">'[82]Rate Analysis'!$D$344</definedName>
    <definedName name="M2x" localSheetId="16">[73]Design!#REF!</definedName>
    <definedName name="M2x">#REF!</definedName>
    <definedName name="M2y" localSheetId="16">[73]Design!#REF!</definedName>
    <definedName name="M2y">#REF!</definedName>
    <definedName name="maa" localSheetId="16">#REF!</definedName>
    <definedName name="maa">#REF!</definedName>
    <definedName name="mac">75</definedName>
    <definedName name="machine_Bdown" localSheetId="16">#REF!</definedName>
    <definedName name="machine_Bdown">#REF!</definedName>
    <definedName name="Magstripe300">#REF!</definedName>
    <definedName name="maint_end" localSheetId="16">#REF!</definedName>
    <definedName name="maint_end">#REF!</definedName>
    <definedName name="maint_start">#REF!</definedName>
    <definedName name="mak" localSheetId="4" hidden="1">#REF!</definedName>
    <definedName name="mak" localSheetId="0" hidden="1">#REF!</definedName>
    <definedName name="man">#REF!</definedName>
    <definedName name="man___0">#REF!</definedName>
    <definedName name="man___11">#REF!</definedName>
    <definedName name="man___12">#REF!</definedName>
    <definedName name="manday1">#REF!</definedName>
    <definedName name="manday1___0">#REF!</definedName>
    <definedName name="manday1___11">#REF!</definedName>
    <definedName name="manday1___12">#REF!</definedName>
    <definedName name="MAPNET_II">#REF!</definedName>
    <definedName name="march_qty">#REF!</definedName>
    <definedName name="MarketType">#REF!</definedName>
    <definedName name="MarketType_Text">#REF!</definedName>
    <definedName name="mason">'[41]Rates Basic'!$D$3</definedName>
    <definedName name="mason_2ndclass" localSheetId="16">#REF!</definedName>
    <definedName name="mason_2ndclass">#REF!</definedName>
    <definedName name="mason1" localSheetId="16">#REF!</definedName>
    <definedName name="mason1">#REF!</definedName>
    <definedName name="mason1stclass" localSheetId="16">#REF!</definedName>
    <definedName name="mason1stclass">#REF!</definedName>
    <definedName name="mat">#REF!</definedName>
    <definedName name="mate">#REF!</definedName>
    <definedName name="MaterialToBeCrushed">#REF!</definedName>
    <definedName name="MaterialToBeScreened">#REF!</definedName>
    <definedName name="MATV">#REF!</definedName>
    <definedName name="MaxSNo">[19]Data!$J$3</definedName>
    <definedName name="mazdoor_skilled" localSheetId="16">#REF!</definedName>
    <definedName name="mazdoor_skilled">#REF!</definedName>
    <definedName name="mazdoor_unskilled" localSheetId="16">#REF!</definedName>
    <definedName name="mazdoor_unskilled">#REF!</definedName>
    <definedName name="MAZI" localSheetId="16">[34]Sheet1!#REF!</definedName>
    <definedName name="MAZI">[34]Sheet1!#REF!</definedName>
    <definedName name="MC_" localSheetId="16">#REF!</definedName>
    <definedName name="MC_">#REF!</definedName>
    <definedName name="MC_ABB_Imp">#REF!</definedName>
    <definedName name="MC_ABB_local">#REF!</definedName>
    <definedName name="MC_ABB_peenya">#REF!</definedName>
    <definedName name="MC_AIC_Imp">#REF!</definedName>
    <definedName name="MC_AIC_local">#REF!</definedName>
    <definedName name="MC_NonABB_Imp">#REF!</definedName>
    <definedName name="MC_NonABB_local">#REF!</definedName>
    <definedName name="mcabb3501i5f" localSheetId="16">#REF!</definedName>
    <definedName name="mcabb3501i5f">#REF!</definedName>
    <definedName name="mcabb3502i1bc8f" localSheetId="16">#REF!</definedName>
    <definedName name="mcabb3502i1bc8f">#REF!</definedName>
    <definedName name="mcabb5002i1bc8f">#REF!</definedName>
    <definedName name="MCB">#REF!</definedName>
    <definedName name="mcl">#REF!</definedName>
    <definedName name="mcmc1i5f">#REF!</definedName>
    <definedName name="mcmc3502i1bc8f">#REF!</definedName>
    <definedName name="mcmc5002i1bc8f">#REF!</definedName>
    <definedName name="mcpc1i4f">#REF!</definedName>
    <definedName name="MECHANICAL">#REF!</definedName>
    <definedName name="Metal_124">'[82]Rate Analysis'!$D$436</definedName>
    <definedName name="METALWORK">[11]A.O.R.!#REF!</definedName>
    <definedName name="MF" localSheetId="16">#REF!</definedName>
    <definedName name="MF" localSheetId="11">#REF!</definedName>
    <definedName name="MF" localSheetId="12">#REF!</definedName>
    <definedName name="MF" localSheetId="13">#REF!</definedName>
    <definedName name="MF" localSheetId="14">#REF!</definedName>
    <definedName name="MF" localSheetId="15">#REF!</definedName>
    <definedName name="MF" localSheetId="10">#REF!</definedName>
    <definedName name="MF" localSheetId="2">#REF!</definedName>
    <definedName name="MF">#REF!</definedName>
    <definedName name="MF___0" localSheetId="16">#REF!</definedName>
    <definedName name="MF___0">#REF!</definedName>
    <definedName name="MF___13" localSheetId="16">#REF!</definedName>
    <definedName name="MF___13">#REF!</definedName>
    <definedName name="MF_ABB_local">#REF!</definedName>
    <definedName name="MF_ABB_peenya">#REF!</definedName>
    <definedName name="MF_AIC_Imp">#REF!</definedName>
    <definedName name="MF_AIC_local">#REF!</definedName>
    <definedName name="MF_AUTImp_ABB">#REF!</definedName>
    <definedName name="MF_AUTImp_NonABB">#REF!</definedName>
    <definedName name="MF_NonABB_local">#REF!</definedName>
    <definedName name="mfl">#REF!</definedName>
    <definedName name="mgf" localSheetId="4">#REF!</definedName>
    <definedName name="mgf">#REF!</definedName>
    <definedName name="mgf_1">#REF!</definedName>
    <definedName name="mgf_16">#REF!</definedName>
    <definedName name="mgf_16_1">#REF!</definedName>
    <definedName name="mgf_17">#REF!</definedName>
    <definedName name="mgf_17_1">#REF!</definedName>
    <definedName name="mgf_18">#REF!</definedName>
    <definedName name="mgf_18_1">#REF!</definedName>
    <definedName name="mgf_19">#REF!</definedName>
    <definedName name="mgf_19_1">#REF!</definedName>
    <definedName name="mgf_4">#REF!</definedName>
    <definedName name="mgf_4_1">#REF!</definedName>
    <definedName name="mgf_5">#REF!</definedName>
    <definedName name="mgf_5_1">#REF!</definedName>
    <definedName name="mgf_6">#REF!</definedName>
    <definedName name="mgf_6_1">#REF!</definedName>
    <definedName name="mgf_7">#REF!</definedName>
    <definedName name="mgf_7_1">#REF!</definedName>
    <definedName name="mgf_8">#REF!</definedName>
    <definedName name="mgf_8_1">#REF!</definedName>
    <definedName name="mgf_9">#REF!</definedName>
    <definedName name="mgf_9_1">#REF!</definedName>
    <definedName name="mh">#REF!</definedName>
    <definedName name="mhl">#REF!</definedName>
    <definedName name="mhr">#REF!</definedName>
    <definedName name="mid" localSheetId="16">'[28]GR.slab-reinft'!#REF!</definedName>
    <definedName name="mid">#REF!</definedName>
    <definedName name="midc" localSheetId="16">'[28]GR.slab-reinft'!#REF!</definedName>
    <definedName name="midc">#REF!</definedName>
    <definedName name="MinSNo">[19]Data!$J$2</definedName>
    <definedName name="MirrorMode">#REF!</definedName>
    <definedName name="misc" localSheetId="16">#REF!</definedName>
    <definedName name="misc" localSheetId="11">#REF!</definedName>
    <definedName name="misc" localSheetId="12">#REF!</definedName>
    <definedName name="misc" localSheetId="13">#REF!</definedName>
    <definedName name="misc" localSheetId="14">#REF!</definedName>
    <definedName name="misc" localSheetId="15">#REF!</definedName>
    <definedName name="misc" localSheetId="10">#REF!</definedName>
    <definedName name="misc" localSheetId="2">#REF!</definedName>
    <definedName name="misc">#REF!</definedName>
    <definedName name="MISC._LABOURS" localSheetId="16">#REF!</definedName>
    <definedName name="MISC._LABOURS">#REF!</definedName>
    <definedName name="Misc_charges">#REF!</definedName>
    <definedName name="MISC_EXPENCES" localSheetId="16">#REF!</definedName>
    <definedName name="MISC_EXPENCES">#REF!</definedName>
    <definedName name="mix_M30">#REF!</definedName>
    <definedName name="mm">#REF!</definedName>
    <definedName name="mmm">#REF!</definedName>
    <definedName name="MMMM">#REF!</definedName>
    <definedName name="mn" localSheetId="16">MATCH(0.01,'C&amp;I Makes'!End_Bal,-1)+1</definedName>
    <definedName name="mn" localSheetId="2">MATCH(0.01,End_Bal,-1)+1</definedName>
    <definedName name="mn">MATCH(0.01,End_Bal,-1)+1</definedName>
    <definedName name="mnb">#REF!</definedName>
    <definedName name="MOB_ADVANCE">#REF!</definedName>
    <definedName name="modvat">#REF!</definedName>
    <definedName name="month">#REF!</definedName>
    <definedName name="monthly_invoice_to_wc">#REF!</definedName>
    <definedName name="MontlyPercentCompletion">#REF!</definedName>
    <definedName name="MOSIC_INSITU" localSheetId="4">#REF!</definedName>
    <definedName name="MOSIC_INSITU">#REF!</definedName>
    <definedName name="MOSIC_TILES" localSheetId="4">#REF!</definedName>
    <definedName name="MOSIC_TILES">#REF!</definedName>
    <definedName name="MOTOR">#REF!</definedName>
    <definedName name="mp">#REF!</definedName>
    <definedName name="ms">#REF!</definedName>
    <definedName name="msf">#REF!</definedName>
    <definedName name="msjune1807">#REF!</definedName>
    <definedName name="msl">#REF!</definedName>
    <definedName name="MTV">#REF!</definedName>
    <definedName name="mukund">#REF!</definedName>
    <definedName name="Multinodes">#REF!</definedName>
    <definedName name="Multiplier">#REF!</definedName>
    <definedName name="Multiplier1">#REF!</definedName>
    <definedName name="MUTHU">#REF!</definedName>
    <definedName name="MVP_Total">#REF!</definedName>
    <definedName name="MyRange1" localSheetId="16">#REF!,#REF!,#REF!</definedName>
    <definedName name="MyRange1" localSheetId="11">#REF!,#REF!,#REF!</definedName>
    <definedName name="MyRange1" localSheetId="12">#REF!,#REF!,#REF!</definedName>
    <definedName name="MyRange1" localSheetId="13">#REF!,#REF!,#REF!</definedName>
    <definedName name="MyRange1" localSheetId="14">#REF!,#REF!,#REF!</definedName>
    <definedName name="MyRange1" localSheetId="15">#REF!,#REF!,#REF!</definedName>
    <definedName name="MyRange1" localSheetId="10">#REF!,#REF!,#REF!</definedName>
    <definedName name="MyRange1" localSheetId="2">#REF!,#REF!,#REF!</definedName>
    <definedName name="MyRange1">#REF!,#REF!,#REF!</definedName>
    <definedName name="MyRange2" localSheetId="16">#REF!,#REF!,#REF!</definedName>
    <definedName name="MyRange2" localSheetId="11">#REF!,#REF!,#REF!</definedName>
    <definedName name="MyRange2" localSheetId="12">#REF!,#REF!,#REF!</definedName>
    <definedName name="MyRange2" localSheetId="13">#REF!,#REF!,#REF!</definedName>
    <definedName name="MyRange2" localSheetId="14">#REF!,#REF!,#REF!</definedName>
    <definedName name="MyRange2" localSheetId="15">#REF!,#REF!,#REF!</definedName>
    <definedName name="MyRange2" localSheetId="10">#REF!,#REF!,#REF!</definedName>
    <definedName name="MyRange2">#REF!,#REF!,#REF!</definedName>
    <definedName name="N" localSheetId="16">#REF!</definedName>
    <definedName name="N" localSheetId="11">#REF!</definedName>
    <definedName name="N" localSheetId="12">#REF!</definedName>
    <definedName name="N" localSheetId="13">#REF!</definedName>
    <definedName name="N" localSheetId="14">#REF!</definedName>
    <definedName name="N" localSheetId="15">#REF!</definedName>
    <definedName name="N" localSheetId="10">#REF!</definedName>
    <definedName name="N" localSheetId="2">#REF!</definedName>
    <definedName name="N">#REF!</definedName>
    <definedName name="N___0" localSheetId="16">#REF!</definedName>
    <definedName name="N___0" localSheetId="11">#REF!</definedName>
    <definedName name="N___0" localSheetId="12">#REF!</definedName>
    <definedName name="N___0" localSheetId="13">#REF!</definedName>
    <definedName name="N___0" localSheetId="14">#REF!</definedName>
    <definedName name="N___0" localSheetId="15">#REF!</definedName>
    <definedName name="N___0" localSheetId="10">#REF!</definedName>
    <definedName name="N___0">#REF!</definedName>
    <definedName name="N___13" localSheetId="16">#REF!</definedName>
    <definedName name="N___13" localSheetId="11">#REF!</definedName>
    <definedName name="N___13" localSheetId="12">#REF!</definedName>
    <definedName name="N___13" localSheetId="13">#REF!</definedName>
    <definedName name="N___13" localSheetId="14">#REF!</definedName>
    <definedName name="N___13" localSheetId="15">#REF!</definedName>
    <definedName name="N___13" localSheetId="10">#REF!</definedName>
    <definedName name="N___13">#REF!</definedName>
    <definedName name="Name">#REF!</definedName>
    <definedName name="NameofWork">#REF!</definedName>
    <definedName name="NAMT">#REF!</definedName>
    <definedName name="NAR">#REF!</definedName>
    <definedName name="NationalAllPrice">#REF!</definedName>
    <definedName name="NationalePrice">#REF!</definedName>
    <definedName name="NationalPrice">#REF!</definedName>
    <definedName name="ncabf">#REF!</definedName>
    <definedName name="ndfond">#REF!</definedName>
    <definedName name="net_cost_list">#REF!</definedName>
    <definedName name="Net_Final_for_A__B__Extd_basement">#REF!</definedName>
    <definedName name="net_total">#REF!</definedName>
    <definedName name="net_total_message">#REF!</definedName>
    <definedName name="new" localSheetId="16">#REF!</definedName>
    <definedName name="new">#REF!</definedName>
    <definedName name="NGC" localSheetId="16">#REF!</definedName>
    <definedName name="NGC">#REF!</definedName>
    <definedName name="nlg_cd">#REF!</definedName>
    <definedName name="nlg_er">#REF!</definedName>
    <definedName name="nlg_fi">#REF!</definedName>
    <definedName name="NN" localSheetId="16">#REF!</definedName>
    <definedName name="NN">#REF!</definedName>
    <definedName name="NN___0" localSheetId="16">#REF!</definedName>
    <definedName name="NN___0">#REF!</definedName>
    <definedName name="NN___13">#REF!</definedName>
    <definedName name="NNN" localSheetId="16">'[8]col-reinft1'!#REF!</definedName>
    <definedName name="NNN">#REF!</definedName>
    <definedName name="NNNN" localSheetId="16">'[9]col-reinft1'!#REF!</definedName>
    <definedName name="NNNN">#REF!</definedName>
    <definedName name="nnnn5" localSheetId="16">'[9]col-reinft1'!#REF!</definedName>
    <definedName name="nnnn5">#REF!</definedName>
    <definedName name="nnnnm" localSheetId="16">#REF!</definedName>
    <definedName name="nnnnm">#REF!</definedName>
    <definedName name="NNNNN" localSheetId="16">'[83]conc-foot-gradeslab'!#REF!</definedName>
    <definedName name="NNNNN">#REF!</definedName>
    <definedName name="no" localSheetId="16">#REF!</definedName>
    <definedName name="no">#REF!</definedName>
    <definedName name="No0" localSheetId="16">#REF!</definedName>
    <definedName name="No0">#REF!</definedName>
    <definedName name="nonmodular">#REF!</definedName>
    <definedName name="NoPrice">#REF!</definedName>
    <definedName name="normal_chi" localSheetId="16">#REF!</definedName>
    <definedName name="normal_chi">#REF!</definedName>
    <definedName name="nos">#REF!</definedName>
    <definedName name="Nos.">#REF!</definedName>
    <definedName name="Notation">#REF!</definedName>
    <definedName name="notok">#REF!</definedName>
    <definedName name="notok1">[13]concrete!$B$99</definedName>
    <definedName name="notok12">[13]concrete!$B$99</definedName>
    <definedName name="ns" localSheetId="16">#REF!</definedName>
    <definedName name="ns">#REF!</definedName>
    <definedName name="nsdd" localSheetId="16">#REF!</definedName>
    <definedName name="nsdd">#REF!</definedName>
    <definedName name="NSSR1" localSheetId="16">#REF!</definedName>
    <definedName name="NSSR1">#REF!</definedName>
    <definedName name="NSSR10">#REF!</definedName>
    <definedName name="NSSR100">#REF!</definedName>
    <definedName name="NSSR101">#REF!</definedName>
    <definedName name="NSSR102">#REF!</definedName>
    <definedName name="NSSR103">#REF!</definedName>
    <definedName name="NSSR104">#REF!</definedName>
    <definedName name="NSSR105">#REF!</definedName>
    <definedName name="NSSR106">#REF!</definedName>
    <definedName name="NSSR107">#REF!</definedName>
    <definedName name="NSSR108">#REF!</definedName>
    <definedName name="NSSR109">#REF!</definedName>
    <definedName name="NSSR11">#REF!</definedName>
    <definedName name="NSSR110">#REF!</definedName>
    <definedName name="NSSR111">#REF!</definedName>
    <definedName name="NSSR112">#REF!</definedName>
    <definedName name="NSSR113">#REF!</definedName>
    <definedName name="NSSR114">#REF!</definedName>
    <definedName name="NSSR115">#REF!</definedName>
    <definedName name="NSSR116">#REF!</definedName>
    <definedName name="NSSR117">#REF!</definedName>
    <definedName name="NSSR118">#REF!</definedName>
    <definedName name="NSSR119">#REF!</definedName>
    <definedName name="NSSR12">#REF!</definedName>
    <definedName name="NSSR120">#REF!</definedName>
    <definedName name="NSSR121">#REF!</definedName>
    <definedName name="NSSR122">#REF!</definedName>
    <definedName name="NSSR123">#REF!</definedName>
    <definedName name="NSSR124">#REF!</definedName>
    <definedName name="NSSR125">#REF!</definedName>
    <definedName name="NSSR126">#REF!</definedName>
    <definedName name="NSSR127">#REF!</definedName>
    <definedName name="NSSR128">#REF!</definedName>
    <definedName name="NSSR129">#REF!</definedName>
    <definedName name="NSSR13">#REF!</definedName>
    <definedName name="NSSR130">#REF!</definedName>
    <definedName name="NSSR131">#REF!</definedName>
    <definedName name="NSSR132">#REF!</definedName>
    <definedName name="NSSR133">#REF!</definedName>
    <definedName name="NSSR134">#REF!</definedName>
    <definedName name="NSSR135">#REF!</definedName>
    <definedName name="NSSR136">#REF!</definedName>
    <definedName name="NSSR137">#REF!</definedName>
    <definedName name="NSSR138">#REF!</definedName>
    <definedName name="NSSR139">#REF!</definedName>
    <definedName name="NSSR14">#REF!</definedName>
    <definedName name="NSSR140">#REF!</definedName>
    <definedName name="NSSR141">#REF!</definedName>
    <definedName name="NSSR142">#REF!</definedName>
    <definedName name="NSSR143">#REF!</definedName>
    <definedName name="NSSR144">#REF!</definedName>
    <definedName name="NSSR145">#REF!</definedName>
    <definedName name="NSSR146">#REF!</definedName>
    <definedName name="NSSR147">#REF!</definedName>
    <definedName name="NSSR148">#REF!</definedName>
    <definedName name="NSSR149">#REF!</definedName>
    <definedName name="NSSR15">#REF!</definedName>
    <definedName name="NSSR150">#REF!</definedName>
    <definedName name="NSSR151">#REF!</definedName>
    <definedName name="NSSR152">#REF!</definedName>
    <definedName name="NSSR153">#REF!</definedName>
    <definedName name="NSSR154">#REF!</definedName>
    <definedName name="NSSR155">#REF!</definedName>
    <definedName name="NSSR156">#REF!</definedName>
    <definedName name="NSSR157">#REF!</definedName>
    <definedName name="NSSR158">#REF!</definedName>
    <definedName name="NSSR159">#REF!</definedName>
    <definedName name="NSSR16">#REF!</definedName>
    <definedName name="NSSR160">#REF!</definedName>
    <definedName name="NSSR161">#REF!</definedName>
    <definedName name="NSSR162">#REF!</definedName>
    <definedName name="NSSR163">#REF!</definedName>
    <definedName name="NSSR164">#REF!</definedName>
    <definedName name="NSSR165">#REF!</definedName>
    <definedName name="NSSR166">#REF!</definedName>
    <definedName name="NSSR167">#REF!</definedName>
    <definedName name="NSSR168">#REF!</definedName>
    <definedName name="NSSR169">#REF!</definedName>
    <definedName name="NSSR17">#REF!</definedName>
    <definedName name="NSSR170">#REF!</definedName>
    <definedName name="NSSR171">#REF!</definedName>
    <definedName name="NSSR172">#REF!</definedName>
    <definedName name="NSSR173">#REF!</definedName>
    <definedName name="NSSR174">#REF!</definedName>
    <definedName name="NSSR18">#REF!</definedName>
    <definedName name="NSSR19">#REF!</definedName>
    <definedName name="NSSR2">#REF!</definedName>
    <definedName name="NSSR20">#REF!</definedName>
    <definedName name="NSSR21">#REF!</definedName>
    <definedName name="NSSR22">#REF!</definedName>
    <definedName name="NSSR23">#REF!</definedName>
    <definedName name="NSSR24">#REF!</definedName>
    <definedName name="NSSR25">#REF!</definedName>
    <definedName name="NSSR26">#REF!</definedName>
    <definedName name="NSSR27">#REF!</definedName>
    <definedName name="NSSR28">#REF!</definedName>
    <definedName name="NSSR29">#REF!</definedName>
    <definedName name="NSSR3">#REF!</definedName>
    <definedName name="NSSR30">#REF!</definedName>
    <definedName name="NSSR31">#REF!</definedName>
    <definedName name="NSSR32">#REF!</definedName>
    <definedName name="NSSR33">#REF!</definedName>
    <definedName name="NSSR34">#REF!</definedName>
    <definedName name="NSSR35">#REF!</definedName>
    <definedName name="NSSR36">#REF!</definedName>
    <definedName name="NSSR37">#REF!</definedName>
    <definedName name="NSSR38">#REF!</definedName>
    <definedName name="NSSR39">#REF!</definedName>
    <definedName name="NSSR4">#REF!</definedName>
    <definedName name="NSSR40">#REF!</definedName>
    <definedName name="NSSR41">#REF!</definedName>
    <definedName name="NSSR42">#REF!</definedName>
    <definedName name="NSSR43">#REF!</definedName>
    <definedName name="NSSR44">#REF!</definedName>
    <definedName name="NSSR45">#REF!</definedName>
    <definedName name="NSSR46">#REF!</definedName>
    <definedName name="NSSR47">#REF!</definedName>
    <definedName name="NSSR48">#REF!</definedName>
    <definedName name="NSSR49">#REF!</definedName>
    <definedName name="NSSR5">#REF!</definedName>
    <definedName name="NSSR50">#REF!</definedName>
    <definedName name="NSSR51">#REF!</definedName>
    <definedName name="NSSR52">#REF!</definedName>
    <definedName name="NSSR53">#REF!</definedName>
    <definedName name="NSSR54">#REF!</definedName>
    <definedName name="NSSR55">#REF!</definedName>
    <definedName name="NSSR56">#REF!</definedName>
    <definedName name="NSSR57">#REF!</definedName>
    <definedName name="NSSR58">#REF!</definedName>
    <definedName name="NSSR59">#REF!</definedName>
    <definedName name="NSSR6">#REF!</definedName>
    <definedName name="NSSR60">#REF!</definedName>
    <definedName name="NSSR61">#REF!</definedName>
    <definedName name="NSSR62">#REF!</definedName>
    <definedName name="NSSR63">#REF!</definedName>
    <definedName name="NSSR64">#REF!</definedName>
    <definedName name="NSSR65">#REF!</definedName>
    <definedName name="NSSR66">#REF!</definedName>
    <definedName name="NSSR67">#REF!</definedName>
    <definedName name="NSSR68">#REF!</definedName>
    <definedName name="NSSR69">#REF!</definedName>
    <definedName name="NSSR7">#REF!</definedName>
    <definedName name="NSSR70">#REF!</definedName>
    <definedName name="NSSR71">#REF!</definedName>
    <definedName name="NSSR72">#REF!</definedName>
    <definedName name="NSSR73">#REF!</definedName>
    <definedName name="NSSR74">#REF!</definedName>
    <definedName name="NSSR75">#REF!</definedName>
    <definedName name="NSSR76">#REF!</definedName>
    <definedName name="NSSR77">#REF!</definedName>
    <definedName name="NSSR78">#REF!</definedName>
    <definedName name="NSSR79">#REF!</definedName>
    <definedName name="NSSR8">#REF!</definedName>
    <definedName name="NSSR80">#REF!</definedName>
    <definedName name="NSSR81">#REF!</definedName>
    <definedName name="NSSR82">#REF!</definedName>
    <definedName name="NSSR83">#REF!</definedName>
    <definedName name="NSSR84">#REF!</definedName>
    <definedName name="NSSR85">#REF!</definedName>
    <definedName name="NSSR86">#REF!</definedName>
    <definedName name="NSSR87">#REF!</definedName>
    <definedName name="NSSR88">#REF!</definedName>
    <definedName name="NSSR89">#REF!</definedName>
    <definedName name="NSSR9">#REF!</definedName>
    <definedName name="NSSR90">#REF!</definedName>
    <definedName name="NSSR91">#REF!</definedName>
    <definedName name="NSSR92">#REF!</definedName>
    <definedName name="NSSR93">#REF!</definedName>
    <definedName name="NSSR94">#REF!</definedName>
    <definedName name="NSSR95">#REF!</definedName>
    <definedName name="NSSR96">#REF!</definedName>
    <definedName name="NSSR97">#REF!</definedName>
    <definedName name="NSSR98">#REF!</definedName>
    <definedName name="NSSR99">#REF!</definedName>
    <definedName name="Num_Pmt_Per_Year">#REF!</definedName>
    <definedName name="num2text">[77]dBase!$A$3:$I$1005</definedName>
    <definedName name="Number">#REF!</definedName>
    <definedName name="Number_of_Payments" localSheetId="16">MATCH(0.01,'C&amp;I Makes'!End_Bal,-1)+1</definedName>
    <definedName name="Number_of_Payments" localSheetId="2">MATCH(0.01,End_Bal,-1)+1</definedName>
    <definedName name="Number_of_Payments">MATCH(0.01,End_Bal,-1)+1</definedName>
    <definedName name="Number_of_Payments_2">#N/A</definedName>
    <definedName name="Numberx">#REF!</definedName>
    <definedName name="numf" localSheetId="16">#REF!</definedName>
    <definedName name="numf" localSheetId="4">#REF!</definedName>
    <definedName name="numf">#REF!</definedName>
    <definedName name="numf_1" localSheetId="16">#REF!</definedName>
    <definedName name="numf_1">#REF!</definedName>
    <definedName name="numf_16" localSheetId="16">#REF!</definedName>
    <definedName name="numf_16">#REF!</definedName>
    <definedName name="numf_16_1">#REF!</definedName>
    <definedName name="numf_17">#REF!</definedName>
    <definedName name="numf_17_1">#REF!</definedName>
    <definedName name="numf_18">#REF!</definedName>
    <definedName name="numf_18_1">#REF!</definedName>
    <definedName name="numf_19">#REF!</definedName>
    <definedName name="numf_19_1">#REF!</definedName>
    <definedName name="numf_4">#REF!</definedName>
    <definedName name="numf_4_1">#REF!</definedName>
    <definedName name="numf_5">#REF!</definedName>
    <definedName name="numf_5_1">#REF!</definedName>
    <definedName name="numf_6">#REF!</definedName>
    <definedName name="numf_6_1">#REF!</definedName>
    <definedName name="numf_7">#REF!</definedName>
    <definedName name="numf_7_1">#REF!</definedName>
    <definedName name="numf_8">#REF!</definedName>
    <definedName name="numf_8_1">#REF!</definedName>
    <definedName name="numf_9">#REF!</definedName>
    <definedName name="numf_9_1">#REF!</definedName>
    <definedName name="nw">#REF!</definedName>
    <definedName name="Nx">#REF!</definedName>
    <definedName name="Nx___0">#REF!</definedName>
    <definedName name="Nx___13">#REF!</definedName>
    <definedName name="nxs">#REF!</definedName>
    <definedName name="Ny">#REF!</definedName>
    <definedName name="Ny___0">#REF!</definedName>
    <definedName name="Ny___13">#REF!</definedName>
    <definedName name="nys">#REF!</definedName>
    <definedName name="o" localSheetId="16">Scheduled_Payment+Extra_Payment</definedName>
    <definedName name="o" localSheetId="11">Scheduled_Payment+Extra_Payment</definedName>
    <definedName name="o" localSheetId="14">Scheduled_Payment+Extra_Payment</definedName>
    <definedName name="o" localSheetId="15">Scheduled_Payment+Extra_Payment</definedName>
    <definedName name="o" localSheetId="2">Scheduled_Payment+Extra_Payment</definedName>
    <definedName name="o" localSheetId="9">Scheduled_Payment+Extra_Payment</definedName>
    <definedName name="o">Scheduled_Payment+Extra_Payment</definedName>
    <definedName name="O12SUM">[37]R2!$C$9</definedName>
    <definedName name="obasic">[84]AOR!$K$689</definedName>
    <definedName name="obpl" localSheetId="16">#REF!</definedName>
    <definedName name="obpl">#REF!</definedName>
    <definedName name="OCT_ALLSITES" localSheetId="16">#REF!</definedName>
    <definedName name="OCT_ALLSITES">#REF!</definedName>
    <definedName name="octf">#REF!</definedName>
    <definedName name="ofcablescost" localSheetId="16">#REF!</definedName>
    <definedName name="ofcablescost">#REF!</definedName>
    <definedName name="OFFICE_FURNITURE">#REF!</definedName>
    <definedName name="OFFICE_STATIONERY">#REF!</definedName>
    <definedName name="ofinal">[84]AOR!#REF!</definedName>
    <definedName name="ohs">'[85]Boq - Flats'!#REF!</definedName>
    <definedName name="oht">'[86]Rate Analysis'!#REF!</definedName>
    <definedName name="ok" localSheetId="16">#REF!</definedName>
    <definedName name="ok">#REF!</definedName>
    <definedName name="old" localSheetId="16">#REF!</definedName>
    <definedName name="old">#REF!</definedName>
    <definedName name="OldNumber">#REF!</definedName>
    <definedName name="omone" localSheetId="16">#REF!</definedName>
    <definedName name="omone">#REF!</definedName>
    <definedName name="OnePrice">#REF!</definedName>
    <definedName name="ooopp">#REF!</definedName>
    <definedName name="op">OFFSET([87]wip!Full_Print,0,0,[87]!Last_Row)</definedName>
    <definedName name="OrderTable" localSheetId="16" hidden="1">#REF!</definedName>
    <definedName name="OrderTable" hidden="1">#REF!</definedName>
    <definedName name="OS">#REF!</definedName>
    <definedName name="OUT_STATION_CHARGES">#REF!</definedName>
    <definedName name="Overall_Loading">#REF!</definedName>
    <definedName name="Overall_Summary_Title">#REF!</definedName>
    <definedName name="OwnAcctNum">#REF!</definedName>
    <definedName name="Owner">'[3]NET Sum'!$F$6</definedName>
    <definedName name="p" localSheetId="16">#REF!</definedName>
    <definedName name="p" localSheetId="11">#REF!</definedName>
    <definedName name="p" localSheetId="12">#REF!</definedName>
    <definedName name="p" localSheetId="13">#REF!</definedName>
    <definedName name="p" localSheetId="14">#REF!</definedName>
    <definedName name="p" localSheetId="15">#REF!</definedName>
    <definedName name="p" localSheetId="10">#REF!</definedName>
    <definedName name="p" localSheetId="2">#REF!</definedName>
    <definedName name="p">#REF!</definedName>
    <definedName name="P.C.C.1.2.4.10MM" localSheetId="16">#REF!</definedName>
    <definedName name="P.C.C.1.2.4.10MM" localSheetId="4">#REF!</definedName>
    <definedName name="P.C.C.1.2.4.10MM">#REF!</definedName>
    <definedName name="P.C.C.1.2.4.H.B" localSheetId="16">#REF!</definedName>
    <definedName name="P.C.C.1.2.4.H.B" localSheetId="4">#REF!</definedName>
    <definedName name="P.C.C.1.2.4.H.B">#REF!</definedName>
    <definedName name="P.C.C.1.2.4.M.B" localSheetId="16">#REF!+#REF!</definedName>
    <definedName name="P.C.C.1.2.4.M.B" localSheetId="4">#REF!+#REF!</definedName>
    <definedName name="P.C.C.1.2.4.M.B">#REF!</definedName>
    <definedName name="P.C.C.1.3.6.40MM" localSheetId="4">#REF!</definedName>
    <definedName name="P.C.C.1.3.6.40MM">#REF!</definedName>
    <definedName name="P.C.C.1.3.6.H.B" localSheetId="4">#REF!</definedName>
    <definedName name="P.C.C.1.3.6.H.B">#REF!</definedName>
    <definedName name="P.C.C.1.4.8" localSheetId="4">#REF!</definedName>
    <definedName name="P.C.C.1.4.8">#REF!</definedName>
    <definedName name="P.C.C.1.5.10" localSheetId="4">#REF!</definedName>
    <definedName name="P.C.C.1.5.10">#REF!</definedName>
    <definedName name="P.C.C.1.8.16HB" localSheetId="4">#REF!</definedName>
    <definedName name="P.C.C.1.8.16HB">#REF!</definedName>
    <definedName name="P.C.C1.2.6.H.B">#REF!</definedName>
    <definedName name="P.C.C1.3.6.MB" localSheetId="4">#REF!</definedName>
    <definedName name="P.C.C1.3.6.MB">#REF!</definedName>
    <definedName name="P.C.C1.8.16_MB" localSheetId="4">#REF!</definedName>
    <definedName name="P.C.C1.8.16_MB">#REF!</definedName>
    <definedName name="P.T" localSheetId="16">MATCH(0.01,'C&amp;I Makes'!End_Bal,-1)+1</definedName>
    <definedName name="P.T" localSheetId="2">MATCH(0.01,End_Bal,-1)+1</definedName>
    <definedName name="P.T">MATCH(0.01,End_Bal,-1)+1</definedName>
    <definedName name="p___0" localSheetId="16">#REF!</definedName>
    <definedName name="p___0" localSheetId="11">#REF!</definedName>
    <definedName name="p___0" localSheetId="12">#REF!</definedName>
    <definedName name="p___0" localSheetId="13">#REF!</definedName>
    <definedName name="p___0" localSheetId="14">#REF!</definedName>
    <definedName name="p___0" localSheetId="15">#REF!</definedName>
    <definedName name="p___0" localSheetId="10">#REF!</definedName>
    <definedName name="p___0" localSheetId="2">#REF!</definedName>
    <definedName name="p___0">#REF!</definedName>
    <definedName name="p___13" localSheetId="16">#REF!</definedName>
    <definedName name="p___13">#REF!</definedName>
    <definedName name="p_13">"$#REF!.$F$5"</definedName>
    <definedName name="p_9">"'file:///E:/Perlos/Revised%20Tender/Perlos%20R1%20With%20VAT%20Nil%20ED%20&amp;%20ST.xls'#$''.$AT$46"</definedName>
    <definedName name="p11i4f">#REF!</definedName>
    <definedName name="p11i5f">#REF!</definedName>
    <definedName name="P12_5PAGE266">#REF!</definedName>
    <definedName name="p12i1bc8f">#REF!</definedName>
    <definedName name="p1350mcbc">#REF!</definedName>
    <definedName name="p1350mcfdr">#REF!</definedName>
    <definedName name="p1350mcic">#REF!</definedName>
    <definedName name="p1350pcfdr">#REF!</definedName>
    <definedName name="p1350pcic">#REF!</definedName>
    <definedName name="p1500mcbc">#REF!</definedName>
    <definedName name="p1500mcfdr">#REF!</definedName>
    <definedName name="p1500mcic">#REF!</definedName>
    <definedName name="p1abbbc">#REF!</definedName>
    <definedName name="p1abbfdr">#REF!</definedName>
    <definedName name="p1abbic">#REF!</definedName>
    <definedName name="p1accp">#REF!</definedName>
    <definedName name="p1acdb1">#REF!</definedName>
    <definedName name="p1acdb2">#REF!</definedName>
    <definedName name="p1acdb3">#REF!</definedName>
    <definedName name="p1apcc1">#REF!</definedName>
    <definedName name="p1apcc2">#REF!</definedName>
    <definedName name="p1apcc3">#REF!</definedName>
    <definedName name="p1clp">#REF!</definedName>
    <definedName name="p1ht">#REF!</definedName>
    <definedName name="p1ldb">#REF!</definedName>
    <definedName name="p1lift">#REF!</definedName>
    <definedName name="p1ltsba1">#REF!</definedName>
    <definedName name="p1ltsba2">#REF!</definedName>
    <definedName name="p1ltsbb1">#REF!</definedName>
    <definedName name="p1ltsbb2">#REF!</definedName>
    <definedName name="p1mcc1">#REF!</definedName>
    <definedName name="p1mcc10">#REF!</definedName>
    <definedName name="p1mcc11">#REF!</definedName>
    <definedName name="p1mcc12">#REF!</definedName>
    <definedName name="p1mcc13">#REF!</definedName>
    <definedName name="p1mcc14">#REF!</definedName>
    <definedName name="p1mcc15">#REF!</definedName>
    <definedName name="p1mcc17">#REF!</definedName>
    <definedName name="p1mcc2">#REF!</definedName>
    <definedName name="p1mcc3">#REF!</definedName>
    <definedName name="p1mcc4">#REF!</definedName>
    <definedName name="p1mcc5">#REF!</definedName>
    <definedName name="p1mcc6">#REF!</definedName>
    <definedName name="p1mcc7">#REF!</definedName>
    <definedName name="p1mcc8">#REF!</definedName>
    <definedName name="p1mcc9">#REF!</definedName>
    <definedName name="p1mldb">#REF!</definedName>
    <definedName name="p1mlp">#REF!</definedName>
    <definedName name="p1mltp">'[88]p1-costg'!$T$30</definedName>
    <definedName name="p1mpcc" localSheetId="16">#REF!</definedName>
    <definedName name="p1mpcc">#REF!</definedName>
    <definedName name="p1mpdb" localSheetId="16">#REF!</definedName>
    <definedName name="p1mpdb">#REF!</definedName>
    <definedName name="p1mpdp" localSheetId="16">#REF!</definedName>
    <definedName name="p1mpdp">#REF!</definedName>
    <definedName name="p1mrlp">#REF!</definedName>
    <definedName name="p1pcc">#REF!</definedName>
    <definedName name="p1pccm">#REF!</definedName>
    <definedName name="p1pdb">#REF!</definedName>
    <definedName name="P1R">'[89]Fill this out first...'!#REF!</definedName>
    <definedName name="p1ssb1">'[88]p1-costg'!$T$113</definedName>
    <definedName name="p1ssb2">'[88]p1-costg'!$T$125</definedName>
    <definedName name="p1upsdb">[90]costing!#REF!</definedName>
    <definedName name="p1upsip" localSheetId="16">#REF!</definedName>
    <definedName name="p1upsip">#REF!</definedName>
    <definedName name="p1upsmdb" localSheetId="16">#REF!</definedName>
    <definedName name="p1upsmdb">#REF!</definedName>
    <definedName name="p1upsop" localSheetId="16">#REF!</definedName>
    <definedName name="p1upsop">#REF!</definedName>
    <definedName name="P2R" localSheetId="16">'[89]Fill this out first...'!#REF!</definedName>
    <definedName name="P2R">'[89]Fill this out first...'!#REF!</definedName>
    <definedName name="P3R" localSheetId="16">'[89]Fill this out first...'!#REF!</definedName>
    <definedName name="P3R">'[89]Fill this out first...'!#REF!</definedName>
    <definedName name="P4R" localSheetId="16">'[83]Fill this out first...'!#REF!</definedName>
    <definedName name="P4R">'[83]Fill this out first...'!#REF!</definedName>
    <definedName name="P5R" localSheetId="16">'[83]Fill this out first...'!#REF!</definedName>
    <definedName name="P5R">'[83]Fill this out first...'!#REF!</definedName>
    <definedName name="pa" localSheetId="16">#REF!</definedName>
    <definedName name="pa" localSheetId="11">#REF!</definedName>
    <definedName name="pa" localSheetId="12">#REF!</definedName>
    <definedName name="pa" localSheetId="13">#REF!</definedName>
    <definedName name="pa" localSheetId="14">#REF!</definedName>
    <definedName name="pa" localSheetId="15">#REF!</definedName>
    <definedName name="pa" localSheetId="10">#REF!</definedName>
    <definedName name="pa" localSheetId="2">#REF!</definedName>
    <definedName name="pa">#REF!</definedName>
    <definedName name="pa___0" localSheetId="16">#REF!</definedName>
    <definedName name="pa___0">#REF!</definedName>
    <definedName name="pa___13" localSheetId="16">#REF!</definedName>
    <definedName name="pa___13">#REF!</definedName>
    <definedName name="paf">#REF!</definedName>
    <definedName name="page1">#REF!</definedName>
    <definedName name="painting">#REF!</definedName>
    <definedName name="Pan_Tilt_Drive_Dome">#REF!</definedName>
    <definedName name="Pane2">#REF!</definedName>
    <definedName name="Pane2___0">#REF!</definedName>
    <definedName name="Pane2___13">#REF!</definedName>
    <definedName name="part">[91]estimate!$K$30</definedName>
    <definedName name="part2">0.91</definedName>
    <definedName name="partn" localSheetId="16">#REF!</definedName>
    <definedName name="partn" localSheetId="11">#REF!</definedName>
    <definedName name="partn" localSheetId="12">#REF!</definedName>
    <definedName name="partn" localSheetId="13">#REF!</definedName>
    <definedName name="partn" localSheetId="14">#REF!</definedName>
    <definedName name="partn" localSheetId="15">#REF!</definedName>
    <definedName name="partn" localSheetId="10">#REF!</definedName>
    <definedName name="partn" localSheetId="2">#REF!</definedName>
    <definedName name="partn">#REF!</definedName>
    <definedName name="Partysanitary" localSheetId="2">#REF!</definedName>
    <definedName name="Partysanitary">#REF!</definedName>
    <definedName name="paul">50000</definedName>
    <definedName name="PavementMarking">#REF!</definedName>
    <definedName name="Pay_Date">#REF!</definedName>
    <definedName name="Pay_Num">#REF!</definedName>
    <definedName name="payment">#REF!</definedName>
    <definedName name="Payment_Date" localSheetId="16">DATE(YEAR('C&amp;I Makes'!Loan_Start),MONTH('C&amp;I Makes'!Loan_Start)+Payment_Number,DAY('C&amp;I Makes'!Loan_Start))</definedName>
    <definedName name="Payment_Date" localSheetId="11">DATE(YEAR([0]!Loan_Start),MONTH([0]!Loan_Start)+Payment_Number,DAY([0]!Loan_Start))</definedName>
    <definedName name="Payment_Date" localSheetId="14">DATE(YEAR([0]!Loan_Start),MONTH([0]!Loan_Start)+Payment_Number,DAY([0]!Loan_Start))</definedName>
    <definedName name="Payment_Date" localSheetId="15">DATE(YEAR([0]!Loan_Start),MONTH([0]!Loan_Start)+Payment_Number,DAY([0]!Loan_Start))</definedName>
    <definedName name="Payment_Date" localSheetId="2">DATE(YEAR(Loan_Start),MONTH(Loan_Start)+Payment_Number,DAY(Loan_Start))</definedName>
    <definedName name="Payment_Date" localSheetId="9">DATE(YEAR([0]!Loan_Start),MONTH([0]!Loan_Start)+Payment_Number,DAY([0]!Loan_Start))</definedName>
    <definedName name="Payment_Date">DATE(YEAR(Loan_Start),MONTH(Loan_Start)+Payment_Number,DAY(Loan_Start))</definedName>
    <definedName name="Payment_Date_2">#N/A</definedName>
    <definedName name="pb" localSheetId="16">#REF!</definedName>
    <definedName name="pb" localSheetId="11">#REF!</definedName>
    <definedName name="pb" localSheetId="12">#REF!</definedName>
    <definedName name="pb" localSheetId="13">#REF!</definedName>
    <definedName name="pb" localSheetId="14">#REF!</definedName>
    <definedName name="pb" localSheetId="15">#REF!</definedName>
    <definedName name="pb" localSheetId="10">#REF!</definedName>
    <definedName name="pb" localSheetId="2">#REF!</definedName>
    <definedName name="pb">#REF!</definedName>
    <definedName name="pb___0" localSheetId="16">#REF!</definedName>
    <definedName name="pb___0" localSheetId="11">#REF!</definedName>
    <definedName name="pb___0" localSheetId="12">#REF!</definedName>
    <definedName name="pb___0" localSheetId="13">#REF!</definedName>
    <definedName name="pb___0" localSheetId="14">#REF!</definedName>
    <definedName name="pb___0" localSheetId="15">#REF!</definedName>
    <definedName name="pb___0" localSheetId="10">#REF!</definedName>
    <definedName name="pb___0">#REF!</definedName>
    <definedName name="pb___11" localSheetId="16">#REF!</definedName>
    <definedName name="pb___11" localSheetId="11">#REF!</definedName>
    <definedName name="pb___11" localSheetId="12">#REF!</definedName>
    <definedName name="pb___11" localSheetId="13">#REF!</definedName>
    <definedName name="pb___11" localSheetId="14">#REF!</definedName>
    <definedName name="pb___11" localSheetId="15">#REF!</definedName>
    <definedName name="pb___11" localSheetId="10">#REF!</definedName>
    <definedName name="pb___11">#REF!</definedName>
    <definedName name="pb___12">#REF!</definedName>
    <definedName name="PB_TOP_1">#REF!</definedName>
    <definedName name="PB_TOP_2">#REF!</definedName>
    <definedName name="Pbx" localSheetId="16">[73]Design!#REF!</definedName>
    <definedName name="Pbx">#REF!</definedName>
    <definedName name="Pby" localSheetId="16">[73]Design!#REF!</definedName>
    <definedName name="Pby">#REF!</definedName>
    <definedName name="pc" localSheetId="16">#REF!</definedName>
    <definedName name="pc">#REF!</definedName>
    <definedName name="PCC" localSheetId="16">#REF!</definedName>
    <definedName name="PCC">#REF!</definedName>
    <definedName name="pccut" localSheetId="16">#REF!</definedName>
    <definedName name="pccut">#REF!</definedName>
    <definedName name="pcl">#REF!</definedName>
    <definedName name="pcur">#REF!</definedName>
    <definedName name="PERFORMANCE">#REF!</definedName>
    <definedName name="PF">#REF!</definedName>
    <definedName name="pfx">#REF!</definedName>
    <definedName name="pg">#REF!</definedName>
    <definedName name="pH">#REF!</definedName>
    <definedName name="pH___0">#REF!</definedName>
    <definedName name="pH___13">#REF!</definedName>
    <definedName name="PhaseCode">#REF!</definedName>
    <definedName name="Phone">#REF!</definedName>
    <definedName name="PhonesQty" localSheetId="4">#REF!</definedName>
    <definedName name="PhonesQty">#REF!</definedName>
    <definedName name="PhonesQty_1">#REF!</definedName>
    <definedName name="PhonesQty_16">#REF!</definedName>
    <definedName name="PhonesQty_16_1">#REF!</definedName>
    <definedName name="PhonesQty_17">#REF!</definedName>
    <definedName name="PhonesQty_17_1">#REF!</definedName>
    <definedName name="PhonesQty_18">#REF!</definedName>
    <definedName name="PhonesQty_18_1">#REF!</definedName>
    <definedName name="PhonesQty_19">#REF!</definedName>
    <definedName name="PhonesQty_19_1">#REF!</definedName>
    <definedName name="PhonesQty_4">#REF!</definedName>
    <definedName name="PhonesQty_4_1">#REF!</definedName>
    <definedName name="PhonesQty_5">#REF!</definedName>
    <definedName name="PhonesQty_5_1">#REF!</definedName>
    <definedName name="PhonesQty_6">#REF!</definedName>
    <definedName name="PhonesQty_6_1">#REF!</definedName>
    <definedName name="PhonesQty_7">#REF!</definedName>
    <definedName name="PhonesQty_7_1">#REF!</definedName>
    <definedName name="PhonesQty_8">#REF!</definedName>
    <definedName name="PhonesQty_8_1">#REF!</definedName>
    <definedName name="PhonesQty_9">#REF!</definedName>
    <definedName name="PhonesQty_9_1">#REF!</definedName>
    <definedName name="pIaccp">#REF!</definedName>
    <definedName name="picture_1">"Picture 1"</definedName>
    <definedName name="pIecp">#REF!</definedName>
    <definedName name="pillers">[63]concrete!$L$194</definedName>
    <definedName name="pImcc.1" localSheetId="16">#REF!</definedName>
    <definedName name="pImcc.1">#REF!</definedName>
    <definedName name="pImcc.2" localSheetId="16">#REF!</definedName>
    <definedName name="pImcc.2">#REF!</definedName>
    <definedName name="pImcc.3" localSheetId="16">#REF!</definedName>
    <definedName name="pImcc.3">#REF!</definedName>
    <definedName name="pImltsb">#REF!</definedName>
    <definedName name="pImsb.ups">#REF!</definedName>
    <definedName name="PIPE">#REF!</definedName>
    <definedName name="PipeCulverts">#REF!</definedName>
    <definedName name="PipeSize">#REF!</definedName>
    <definedName name="PipingDetail">#REF!</definedName>
    <definedName name="pIsmsb.1">#REF!</definedName>
    <definedName name="pIsmsb.2">#REF!</definedName>
    <definedName name="pIsmsb.3">#REF!</definedName>
    <definedName name="pIsmsb.b">#REF!</definedName>
    <definedName name="pIsmsb.g">#REF!</definedName>
    <definedName name="pIsmsb.lab">#REF!</definedName>
    <definedName name="pIsmsb.main">#REF!</definedName>
    <definedName name="pIsmsb.t">#REF!</definedName>
    <definedName name="pIsmsb.ups">#REF!</definedName>
    <definedName name="pitching">#REF!</definedName>
    <definedName name="pIup.1">#REF!</definedName>
    <definedName name="pIup.2">#REF!</definedName>
    <definedName name="PK" localSheetId="16">'[83]conc-foot-gradeslab'!#REF!</definedName>
    <definedName name="PK">#REF!</definedName>
    <definedName name="PKK" localSheetId="16">'[83]conc-foot-gradeslab'!#REF!</definedName>
    <definedName name="PKK">#REF!</definedName>
    <definedName name="PLACE_OF_POSTING">[66]sheeet7!#REF!</definedName>
    <definedName name="PLACEOFPOSTING">[66]sheeet7!#REF!</definedName>
    <definedName name="plan" localSheetId="16">#REF!</definedName>
    <definedName name="plan">#REF!</definedName>
    <definedName name="Plant">#REF!</definedName>
    <definedName name="Plant_Desc">#REF!</definedName>
    <definedName name="PLANTS___MACHINERY" localSheetId="16">#REF!</definedName>
    <definedName name="PLANTS___MACHINERY">#REF!</definedName>
    <definedName name="Plast_1.3_W.P.C" localSheetId="16">#REF!</definedName>
    <definedName name="Plast_1.3_W.P.C" localSheetId="4">#REF!</definedName>
    <definedName name="Plast_1.3_W.P.C">#REF!</definedName>
    <definedName name="Plast_1.5_12mm" localSheetId="4">#REF!</definedName>
    <definedName name="Plast_1.5_12mm">#REF!</definedName>
    <definedName name="Plast_1.5_20mm" localSheetId="4">#REF!</definedName>
    <definedName name="Plast_1.5_20mm">#REF!</definedName>
    <definedName name="Plast_Dummy" localSheetId="4">#REF!</definedName>
    <definedName name="Plast_Dummy">#REF!</definedName>
    <definedName name="Plast_Roof" localSheetId="4">#REF!</definedName>
    <definedName name="Plast_Roof">#REF!</definedName>
    <definedName name="Plastic_Emulsion" localSheetId="4">#REF!</definedName>
    <definedName name="Plastic_Emulsion">#REF!</definedName>
    <definedName name="plbeams">#REF!</definedName>
    <definedName name="pll">#REF!</definedName>
    <definedName name="PM">#REF!</definedName>
    <definedName name="PM_SCH">#REF!</definedName>
    <definedName name="PMACRA">#REF!</definedName>
    <definedName name="PMC">#REF!</definedName>
    <definedName name="PMGRC">#REF!</definedName>
    <definedName name="PNM">#N/A</definedName>
    <definedName name="po" localSheetId="16">#REF!</definedName>
    <definedName name="po" localSheetId="11">#REF!</definedName>
    <definedName name="po" localSheetId="12">#REF!</definedName>
    <definedName name="po" localSheetId="13">#REF!</definedName>
    <definedName name="po" localSheetId="14">#REF!</definedName>
    <definedName name="po" localSheetId="15">#REF!</definedName>
    <definedName name="po" localSheetId="10">#REF!</definedName>
    <definedName name="po" localSheetId="4">#REF!</definedName>
    <definedName name="po" localSheetId="2">#REF!</definedName>
    <definedName name="po">#REF!</definedName>
    <definedName name="po_1" localSheetId="16">#REF!</definedName>
    <definedName name="po_1">#REF!</definedName>
    <definedName name="po_16" localSheetId="16">#REF!</definedName>
    <definedName name="po_16">#REF!</definedName>
    <definedName name="po_16_1">#REF!</definedName>
    <definedName name="po_17">#REF!</definedName>
    <definedName name="po_17_1">#REF!</definedName>
    <definedName name="po_18">#REF!</definedName>
    <definedName name="po_18_1">#REF!</definedName>
    <definedName name="po_19">#REF!</definedName>
    <definedName name="po_19_1">#REF!</definedName>
    <definedName name="po_4">#REF!</definedName>
    <definedName name="po_4_1">#REF!</definedName>
    <definedName name="po_5">#REF!</definedName>
    <definedName name="po_5_1">#REF!</definedName>
    <definedName name="po_6">#REF!</definedName>
    <definedName name="po_6_1">#REF!</definedName>
    <definedName name="po_7">#REF!</definedName>
    <definedName name="po_7_1">#REF!</definedName>
    <definedName name="po_8">#REF!</definedName>
    <definedName name="po_8_1">#REF!</definedName>
    <definedName name="po_9">#REF!</definedName>
    <definedName name="po_9_1">#REF!</definedName>
    <definedName name="Podium">#REF!</definedName>
    <definedName name="POL">#REF!</definedName>
    <definedName name="Pondy1">#REF!</definedName>
    <definedName name="ponrajan">#REF!</definedName>
    <definedName name="pp">#REF!</definedName>
    <definedName name="PPC">#N/A</definedName>
    <definedName name="PPCStart">#REF!</definedName>
    <definedName name="ppppp">#REF!</definedName>
    <definedName name="pqr">#REF!</definedName>
    <definedName name="pr">#REF!</definedName>
    <definedName name="Prabakar">#REF!</definedName>
    <definedName name="Prelm_Exp" localSheetId="16">#REF!</definedName>
    <definedName name="Prelm_Exp">#REF!</definedName>
    <definedName name="PressedTile" localSheetId="4">#REF!</definedName>
    <definedName name="PressedTile">#REF!</definedName>
    <definedName name="PrevYears">'[89]Fill this out first...'!#REF!</definedName>
    <definedName name="price" localSheetId="16">#REF!</definedName>
    <definedName name="Price">#REF!</definedName>
    <definedName name="PriceColumn">#REF!</definedName>
    <definedName name="PriceColumnEuro">#REF!</definedName>
    <definedName name="PriceCur">#REF!</definedName>
    <definedName name="priced_end">'[17]BOQ LT'!#REF!</definedName>
    <definedName name="PriceList2002PriceChange">#REF!</definedName>
    <definedName name="PriceList2002価格修正">#REF!</definedName>
    <definedName name="PriceList2002価格修正分">#REF!</definedName>
    <definedName name="PriceRegion">#REF!</definedName>
    <definedName name="PriceRegionNo">#REF!</definedName>
    <definedName name="PrimeAddress">#REF!</definedName>
    <definedName name="PrimeCity">#REF!</definedName>
    <definedName name="PrimeCoat" localSheetId="16">#REF!</definedName>
    <definedName name="PrimeCoat">#REF!</definedName>
    <definedName name="PrimeName">#REF!</definedName>
    <definedName name="PrimePostal">#REF!</definedName>
    <definedName name="PrimePrio">#REF!</definedName>
    <definedName name="PrimePrio_Text">#REF!</definedName>
    <definedName name="PrimeState">#REF!</definedName>
    <definedName name="Princ" localSheetId="16">#REF!</definedName>
    <definedName name="Princ">#REF!</definedName>
    <definedName name="prince" localSheetId="16">#REF!</definedName>
    <definedName name="prince">#REF!</definedName>
    <definedName name="prince1">#REF!</definedName>
    <definedName name="PRINCE2">#REF!</definedName>
    <definedName name="PRINCE22">#REF!</definedName>
    <definedName name="prince25">#REF!</definedName>
    <definedName name="Principal">#REF!</definedName>
    <definedName name="_xlnm.Print_Area" localSheetId="1">'BOQ-C&amp;I'!$A$1:$F$298</definedName>
    <definedName name="_xlnm.Print_Area" localSheetId="16">'C&amp;I Makes'!$A$1:$C$108</definedName>
    <definedName name="_xlnm.Print_Area" localSheetId="11">'Comparison - Annexure 02'!$A$1:$K$15</definedName>
    <definedName name="_xlnm.Print_Area" localSheetId="12">'Comparison - Annexure 03'!$A$1:$K$15</definedName>
    <definedName name="_xlnm.Print_Area" localSheetId="13">'Comparison - Annexure 04'!$A$1:$K$80</definedName>
    <definedName name="_xlnm.Print_Area" localSheetId="14">'Comparison - Annexure 05'!$A$1:$K$12</definedName>
    <definedName name="_xlnm.Print_Area" localSheetId="15">'Comparison - Annexure 06'!$A$1:$K$10</definedName>
    <definedName name="_xlnm.Print_Area" localSheetId="10">'Comparison - Annexure 1'!$A$1:$K$16</definedName>
    <definedName name="_xlnm.Print_Area" localSheetId="4">Data!$A$1:$G$1212</definedName>
    <definedName name="_xlnm.Print_Area" localSheetId="2">'Detailed Estimate'!$A$1:$K$3456</definedName>
    <definedName name="_xlnm.Print_Area" localSheetId="9">'Detailed Estimate Furniture'!$A$1:$K$144</definedName>
    <definedName name="_xlnm.Print_Area" localSheetId="5">Labour!$A$1:$F$50</definedName>
    <definedName name="_xlnm.Print_Area" localSheetId="3">'Lead Statement'!$A$1:$I$38</definedName>
    <definedName name="_xlnm.Print_Area" localSheetId="8">'Loose Furniture and Chairs'!$A$1:$H$14</definedName>
    <definedName name="_xlnm.Print_Area" localSheetId="6">Material!$A$1:$F$61</definedName>
    <definedName name="_xlnm.Print_Area" localSheetId="7">'Modular Furniture'!$A$1:$H$15</definedName>
    <definedName name="_xlnm.Print_Area" localSheetId="0">Summary!$A$1:$C$52</definedName>
    <definedName name="_xlnm.Print_Area">#REF!</definedName>
    <definedName name="PRINT_AREA_MI" localSheetId="16">#REF!</definedName>
    <definedName name="PRINT_AREA_MI" localSheetId="11">#REF!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 localSheetId="10">#REF!</definedName>
    <definedName name="PRINT_AREA_MI" localSheetId="4">#REF!</definedName>
    <definedName name="PRINT_AREA_MI" localSheetId="0">#REF!</definedName>
    <definedName name="PRINT_AREA_MI">#REF!</definedName>
    <definedName name="PRINT_AREA_MI___0" localSheetId="16">#REF!</definedName>
    <definedName name="PRINT_AREA_MI___0" localSheetId="12">#REF!</definedName>
    <definedName name="PRINT_AREA_MI___0">#REF!</definedName>
    <definedName name="Print_Area_MI_17">#REF!</definedName>
    <definedName name="Print_Area_MI_3">#REF!</definedName>
    <definedName name="Print_Area_Reset" localSheetId="16">OFFSET(Full_Print,0,0,Last_Row)</definedName>
    <definedName name="Print_Area_Reset" localSheetId="2">OFFSET(Full_Print,0,0,Last_Row)</definedName>
    <definedName name="Print_Area_Reset">OFFSET(Full_Print,0,0,Last_Row)</definedName>
    <definedName name="Print_Area_Reset_2" localSheetId="16">OFFSET(Full_Print,0,0,Last_Row_2)</definedName>
    <definedName name="Print_Area_Reset_2" localSheetId="2">OFFSET(Full_Print,0,0,Last_Row_2)</definedName>
    <definedName name="Print_Area_Reset_2">OFFSET(Full_Print,0,0,Last_Row_2)</definedName>
    <definedName name="Print_Range" localSheetId="16">#REF!</definedName>
    <definedName name="Print_Range">#REF!</definedName>
    <definedName name="print_title">[92]Cul_detail!$A$2:$IV$5</definedName>
    <definedName name="_xlnm.Print_Titles" localSheetId="1">'BOQ-C&amp;I'!$3:$3</definedName>
    <definedName name="_xlnm.Print_Titles" localSheetId="16">'C&amp;I Makes'!$3:$3</definedName>
    <definedName name="_xlnm.Print_Titles" localSheetId="11">'Comparison - Annexure 02'!$1:$4</definedName>
    <definedName name="_xlnm.Print_Titles" localSheetId="12">'Comparison - Annexure 03'!$1:$4</definedName>
    <definedName name="_xlnm.Print_Titles" localSheetId="13">'Comparison - Annexure 04'!$1:$4</definedName>
    <definedName name="_xlnm.Print_Titles" localSheetId="14">'Comparison - Annexure 05'!$1:$4</definedName>
    <definedName name="_xlnm.Print_Titles" localSheetId="15">'Comparison - Annexure 06'!$1:$4</definedName>
    <definedName name="_xlnm.Print_Titles" localSheetId="10">'Comparison - Annexure 1'!$1:$4</definedName>
    <definedName name="_xlnm.Print_Titles" localSheetId="4">Data!$3:$3</definedName>
    <definedName name="_xlnm.Print_Titles" localSheetId="2">'Detailed Estimate'!$3:$3</definedName>
    <definedName name="_xlnm.Print_Titles" localSheetId="9">'Detailed Estimate Furniture'!$3:$3</definedName>
    <definedName name="_xlnm.Print_Titles" localSheetId="5">Labour!$3:$3</definedName>
    <definedName name="_xlnm.Print_Titles" localSheetId="3">'Lead Statement'!$3:$3</definedName>
    <definedName name="_xlnm.Print_Titles" localSheetId="8">'Loose Furniture and Chairs'!$1:$3</definedName>
    <definedName name="_xlnm.Print_Titles" localSheetId="6">Material!$4:$4</definedName>
    <definedName name="_xlnm.Print_Titles" localSheetId="7">'Modular Furniture'!$1:$3</definedName>
    <definedName name="_xlnm.Print_Titles" localSheetId="0">Summary!$3:$3</definedName>
    <definedName name="_xlnm.Print_Titles">#REF!</definedName>
    <definedName name="PRINT_TITLES_MI" localSheetId="16">#REF!</definedName>
    <definedName name="PRINT_TITLES_MI" localSheetId="11">#REF!</definedName>
    <definedName name="PRINT_TITLES_MI" localSheetId="12">#REF!</definedName>
    <definedName name="PRINT_TITLES_MI" localSheetId="13">#REF!</definedName>
    <definedName name="PRINT_TITLES_MI" localSheetId="14">#REF!</definedName>
    <definedName name="PRINT_TITLES_MI" localSheetId="15">#REF!</definedName>
    <definedName name="PRINT_TITLES_MI" localSheetId="10">#REF!</definedName>
    <definedName name="PRINT_TITLES_MI" localSheetId="4">#REF!</definedName>
    <definedName name="PRINT_TITLES_MI" localSheetId="0">#REF!</definedName>
    <definedName name="PRINT_TITLES_MI">#REF!</definedName>
    <definedName name="ProdCode1">#REF!</definedName>
    <definedName name="ProdCode1_Text">#REF!</definedName>
    <definedName name="ProdCode2">#REF!</definedName>
    <definedName name="ProdCode2_Text">#REF!</definedName>
    <definedName name="ProdCode3">#REF!</definedName>
    <definedName name="ProdCode3_Text">#REF!</definedName>
    <definedName name="ProdCode4">#REF!</definedName>
    <definedName name="ProdCode4_Text">#REF!</definedName>
    <definedName name="ProdCode5">#REF!</definedName>
    <definedName name="ProdCode5_Text">#REF!</definedName>
    <definedName name="ProdForm" localSheetId="16" hidden="1">#REF!</definedName>
    <definedName name="ProdForm" hidden="1">#REF!</definedName>
    <definedName name="ProdPct1">#REF!</definedName>
    <definedName name="ProdPct2">#REF!</definedName>
    <definedName name="ProdPct3">#REF!</definedName>
    <definedName name="ProdPct4">#REF!</definedName>
    <definedName name="ProdPct5">#REF!</definedName>
    <definedName name="Product" localSheetId="16" hidden="1">#REF!</definedName>
    <definedName name="Product" hidden="1">#REF!</definedName>
    <definedName name="product_discount" localSheetId="11">#REF!</definedName>
    <definedName name="product_discount" localSheetId="12">#REF!</definedName>
    <definedName name="product_discount" localSheetId="13">#REF!</definedName>
    <definedName name="product_discount" localSheetId="14">#REF!</definedName>
    <definedName name="product_discount" localSheetId="15">#REF!</definedName>
    <definedName name="product_discount" localSheetId="10">#REF!</definedName>
    <definedName name="product_discount">#REF!</definedName>
    <definedName name="product_end" localSheetId="11">#REF!</definedName>
    <definedName name="product_end" localSheetId="12">#REF!</definedName>
    <definedName name="product_end" localSheetId="13">#REF!</definedName>
    <definedName name="product_end" localSheetId="14">#REF!</definedName>
    <definedName name="product_end" localSheetId="15">#REF!</definedName>
    <definedName name="product_end" localSheetId="10">#REF!</definedName>
    <definedName name="product_end">#REF!</definedName>
    <definedName name="product_nettotal">#REF!</definedName>
    <definedName name="product_start">#REF!</definedName>
    <definedName name="product_subtotal">#REF!</definedName>
    <definedName name="prof_svcs_end">#REF!</definedName>
    <definedName name="prof_svcs_start">#REF!</definedName>
    <definedName name="ProjAddress1">#REF!</definedName>
    <definedName name="ProjAddress2">#REF!</definedName>
    <definedName name="ProjCity">#REF!</definedName>
    <definedName name="ProjCountry">#REF!</definedName>
    <definedName name="ProjCounty">#REF!</definedName>
    <definedName name="project">#REF!</definedName>
    <definedName name="projection">[22]Boq!#REF!</definedName>
    <definedName name="ProjectLocation" localSheetId="16">#REF!</definedName>
    <definedName name="ProjectLocation">#REF!</definedName>
    <definedName name="ProjectNumber" localSheetId="16">#REF!</definedName>
    <definedName name="ProjectNumber">#REF!</definedName>
    <definedName name="ProjectSubtitle" localSheetId="16">#REF!</definedName>
    <definedName name="ProjectSubtitle">#REF!</definedName>
    <definedName name="ProjectTitle">#REF!</definedName>
    <definedName name="ProjName">#REF!</definedName>
    <definedName name="ProjNum">#REF!</definedName>
    <definedName name="ProjPostal">#REF!</definedName>
    <definedName name="ProjState">#REF!</definedName>
    <definedName name="PROPS">[34]Sheet1!#REF!</definedName>
    <definedName name="PS" localSheetId="16">#REF!</definedName>
    <definedName name="PS" localSheetId="11">#REF!</definedName>
    <definedName name="PS" localSheetId="12">#REF!</definedName>
    <definedName name="PS" localSheetId="13">#REF!</definedName>
    <definedName name="PS" localSheetId="14">#REF!</definedName>
    <definedName name="PS" localSheetId="15">#REF!</definedName>
    <definedName name="PS" localSheetId="10">#REF!</definedName>
    <definedName name="PS" localSheetId="2">#REF!</definedName>
    <definedName name="PS">#REF!</definedName>
    <definedName name="PS___0" localSheetId="16">#REF!</definedName>
    <definedName name="PS___0">#REF!</definedName>
    <definedName name="PS___13" localSheetId="16">#REF!</definedName>
    <definedName name="PS___13">#REF!</definedName>
    <definedName name="ps_app">#REF!</definedName>
    <definedName name="ps_est">#REF!</definedName>
    <definedName name="ps_max">#REF!</definedName>
    <definedName name="ps_paid">#REF!</definedName>
    <definedName name="ps_quo">#REF!</definedName>
    <definedName name="ps_rec">#REF!</definedName>
    <definedName name="PSABillingMethod">#REF!</definedName>
    <definedName name="PSNOTE1">#REF!</definedName>
    <definedName name="PSNOTE2">#REF!</definedName>
    <definedName name="PSNOTE3">#REF!</definedName>
    <definedName name="PT">#REF!</definedName>
    <definedName name="Puz" localSheetId="16">[73]Design!#REF!</definedName>
    <definedName name="Puz">#REF!</definedName>
    <definedName name="pvc_100" localSheetId="16">#REF!</definedName>
    <definedName name="pvc_100">#REF!</definedName>
    <definedName name="pvc_15" localSheetId="16">#REF!</definedName>
    <definedName name="pvc_15">#REF!</definedName>
    <definedName name="pvc_150" localSheetId="16">#REF!</definedName>
    <definedName name="pvc_150">#REF!</definedName>
    <definedName name="pvc_20">#REF!</definedName>
    <definedName name="pvc_200">#REF!</definedName>
    <definedName name="pvc_25">#REF!</definedName>
    <definedName name="pvc_250">#REF!</definedName>
    <definedName name="pvc_300">#REF!</definedName>
    <definedName name="pvc_32">#REF!</definedName>
    <definedName name="pvc_40">#REF!</definedName>
    <definedName name="pvc_400">#REF!</definedName>
    <definedName name="pvc_50">#REF!</definedName>
    <definedName name="pvc_600">#REF!</definedName>
    <definedName name="pvc_65">#REF!</definedName>
    <definedName name="pvc_80">#REF!</definedName>
    <definedName name="pvcf">#REF!</definedName>
    <definedName name="pvcl">#REF!</definedName>
    <definedName name="pvf">#REF!</definedName>
    <definedName name="q" hidden="1">#REF!</definedName>
    <definedName name="qactual">#REF!</definedName>
    <definedName name="qaxcvb">#REF!</definedName>
    <definedName name="Qc">#REF!</definedName>
    <definedName name="Qc___0">#REF!</definedName>
    <definedName name="Qc___13">#REF!</definedName>
    <definedName name="Qf">#REF!</definedName>
    <definedName name="Qf___0">#REF!</definedName>
    <definedName name="Qf___13">#REF!</definedName>
    <definedName name="qfc">#REF!</definedName>
    <definedName name="qfull">#REF!</definedName>
    <definedName name="Qi">#REF!</definedName>
    <definedName name="Qi___0">#REF!</definedName>
    <definedName name="Qi___13">#REF!</definedName>
    <definedName name="Ql">#REF!</definedName>
    <definedName name="Ql___0">#REF!</definedName>
    <definedName name="Ql___13">#REF!</definedName>
    <definedName name="qq">#REF!</definedName>
    <definedName name="qqq">#REF!</definedName>
    <definedName name="Qspan">#REF!</definedName>
    <definedName name="Qty">#REF!</definedName>
    <definedName name="quarry">#REF!</definedName>
    <definedName name="Quotataion_No.__Date">#REF!</definedName>
    <definedName name="quote_date">#REF!</definedName>
    <definedName name="qw">#REF!</definedName>
    <definedName name="QWE">#REF!</definedName>
    <definedName name="qwerty">#REF!</definedName>
    <definedName name="R.C.C.">[11]A.O.R.!#REF!</definedName>
    <definedName name="R.R_1.3" localSheetId="16">#REF!</definedName>
    <definedName name="R.R_1.3" localSheetId="4">#REF!</definedName>
    <definedName name="R.R_1.3">#REF!</definedName>
    <definedName name="R.R_1.5" localSheetId="16">#REF!</definedName>
    <definedName name="R.R_1.5" localSheetId="4">#REF!</definedName>
    <definedName name="R.R_1.5">#REF!</definedName>
    <definedName name="R.R_1.6" localSheetId="16">#REF!</definedName>
    <definedName name="R.R_1.6" localSheetId="4">#REF!</definedName>
    <definedName name="R.R_1.6">#REF!</definedName>
    <definedName name="r_" localSheetId="16">[93]Sheet1!#REF!</definedName>
    <definedName name="r_">[93]Sheet1!#REF!</definedName>
    <definedName name="raams" localSheetId="16">#REF!</definedName>
    <definedName name="raams" localSheetId="2">#REF!</definedName>
    <definedName name="raams">#REF!</definedName>
    <definedName name="RAAMS12" localSheetId="16">#REF!</definedName>
    <definedName name="RAAMS12">#REF!</definedName>
    <definedName name="raams23" localSheetId="16">#REF!</definedName>
    <definedName name="raams23">#REF!</definedName>
    <definedName name="raja">#REF!</definedName>
    <definedName name="ram">#REF!</definedName>
    <definedName name="range_mix_M30">#REF!</definedName>
    <definedName name="ranj">'[24]A.O.R r1'!#REF!</definedName>
    <definedName name="rara">[92]E1!$R$3</definedName>
    <definedName name="RATE" localSheetId="16">#REF!</definedName>
    <definedName name="RATE" localSheetId="4">#REF!</definedName>
    <definedName name="RATE" localSheetId="2">#REF!</definedName>
    <definedName name="RATE">#REF!</definedName>
    <definedName name="Rate_for_1_Cum" localSheetId="16">#REF!</definedName>
    <definedName name="Rate_for_1_Cum" localSheetId="4">#REF!</definedName>
    <definedName name="Rate_for_1_Cum">#REF!</definedName>
    <definedName name="rates" localSheetId="16">#REF!</definedName>
    <definedName name="rates">#REF!</definedName>
    <definedName name="ratio_theorical_to_actual_weight_reinforcement">#REF!</definedName>
    <definedName name="RC_">#REF!</definedName>
    <definedName name="RCArea" hidden="1">#REF!</definedName>
    <definedName name="RCC.1.1.2_MB" localSheetId="4">#REF!</definedName>
    <definedName name="RCC.1.1.2_MB">#REF!</definedName>
    <definedName name="RCC.1.1.5.3_MB" localSheetId="4">#REF!</definedName>
    <definedName name="RCC.1.1.5.3_MB">#REF!</definedName>
    <definedName name="RCC.1.2.4_MB" localSheetId="4">#REF!</definedName>
    <definedName name="RCC.1.2.4_MB">#REF!</definedName>
    <definedName name="rccm20">#REF!</definedName>
    <definedName name="rcwbgl">#REF!</definedName>
    <definedName name="rcwbgl2">#REF!</definedName>
    <definedName name="RDL">#REF!</definedName>
    <definedName name="RDOL">#REF!</definedName>
    <definedName name="RDOL3">#REF!</definedName>
    <definedName name="rdtd">#REF!</definedName>
    <definedName name="Re">#REF!</definedName>
    <definedName name="Re___0">#REF!</definedName>
    <definedName name="Re___13">#REF!</definedName>
    <definedName name="ReaderProximity">#REF!</definedName>
    <definedName name="ReaderWiegand">#REF!</definedName>
    <definedName name="Rear" localSheetId="16">[94]COLUMN!#REF!</definedName>
    <definedName name="Rear" localSheetId="2">#REF!</definedName>
    <definedName name="Rear">#REF!</definedName>
    <definedName name="rear1" localSheetId="16">[94]COLUMN!#REF!</definedName>
    <definedName name="rear1" localSheetId="2">#REF!</definedName>
    <definedName name="rear1">#REF!</definedName>
    <definedName name="rear10" localSheetId="16">[95]COLUMN!#REF!</definedName>
    <definedName name="rear10" localSheetId="2">#REF!</definedName>
    <definedName name="rear10">#REF!</definedName>
    <definedName name="rear11" localSheetId="16">[95]COLUMN!#REF!</definedName>
    <definedName name="rear11" localSheetId="2">#REF!</definedName>
    <definedName name="rear11">#REF!</definedName>
    <definedName name="REAR12" localSheetId="16">[95]COLUMN!#REF!</definedName>
    <definedName name="REAR12" localSheetId="2">#REF!</definedName>
    <definedName name="REAR12">#REF!</definedName>
    <definedName name="REAR2" localSheetId="16">[95]COLUMN!#REF!</definedName>
    <definedName name="REAR2" localSheetId="2">#REF!</definedName>
    <definedName name="REAR2">#REF!</definedName>
    <definedName name="rear23" localSheetId="16">[95]COLUMN!#REF!</definedName>
    <definedName name="rear23" localSheetId="2">#REF!</definedName>
    <definedName name="rear23">#REF!</definedName>
    <definedName name="REAR31" localSheetId="16">[95]COLUMN!#REF!</definedName>
    <definedName name="REAR31" localSheetId="2">#REF!</definedName>
    <definedName name="REAR31">#REF!</definedName>
    <definedName name="REARS" localSheetId="16">[94]COLUMN!#REF!</definedName>
    <definedName name="REARS" localSheetId="2">#REF!</definedName>
    <definedName name="REARS">#REF!</definedName>
    <definedName name="rec" localSheetId="16">#REF!</definedName>
    <definedName name="rec" localSheetId="2">#REF!</definedName>
    <definedName name="rec">#REF!</definedName>
    <definedName name="receipt" localSheetId="16">#REF!</definedName>
    <definedName name="receipt">#REF!</definedName>
    <definedName name="_xlnm.Recorder" localSheetId="16">#REF!</definedName>
    <definedName name="_xlnm.Recorder">#REF!</definedName>
    <definedName name="RECOUT">#N/A</definedName>
    <definedName name="rect_4_415" localSheetId="16">#REF!</definedName>
    <definedName name="rect_4_415">#REF!</definedName>
    <definedName name="rect_4_415_9">"'file:///E:/Perlos/Revised%20Tender/Perlos%20R1%20With%20VAT%20Nil%20ED%20&amp;%20ST.xls'#$''.$B$9:$C$18"</definedName>
    <definedName name="REDOXIDE" localSheetId="16">#REF!</definedName>
    <definedName name="REDOXIDE" localSheetId="4">#REF!</definedName>
    <definedName name="REDOXIDE">#REF!</definedName>
    <definedName name="REF_MOD">#REF!</definedName>
    <definedName name="RefDwg">#REF!</definedName>
    <definedName name="region_type">#REF!</definedName>
    <definedName name="REINFORCE" localSheetId="16">#REF!</definedName>
    <definedName name="REINFORCE" localSheetId="4">#REF!</definedName>
    <definedName name="REINFORCE">#REF!</definedName>
    <definedName name="ReinforcementSteel">#REF!</definedName>
    <definedName name="rel">#REF!</definedName>
    <definedName name="rel_13">"$#REF!.$J$44"</definedName>
    <definedName name="rel_9">"'file:///E:/Perlos/Revised%20Tender/Perlos%20R1%20With%20VAT%20Nil%20ED%20&amp;%20ST.xls'#$''.$J$62"</definedName>
    <definedName name="Report_Area">#REF!</definedName>
    <definedName name="report2">#REF!</definedName>
    <definedName name="reprevision" localSheetId="4">[96]RECAPITULATION!#REF!</definedName>
    <definedName name="reprevision" localSheetId="0">[96]RECAPITULATION!#REF!</definedName>
    <definedName name="req">'[24]A.O.R r1Str'!#REF!</definedName>
    <definedName name="Reqd">'[24]A.O.R r1'!#REF!</definedName>
    <definedName name="request_delivery" localSheetId="16">#REF!</definedName>
    <definedName name="request_delivery" localSheetId="11">#REF!</definedName>
    <definedName name="request_delivery" localSheetId="12">#REF!</definedName>
    <definedName name="request_delivery" localSheetId="13">#REF!</definedName>
    <definedName name="request_delivery" localSheetId="14">#REF!</definedName>
    <definedName name="request_delivery" localSheetId="15">#REF!</definedName>
    <definedName name="request_delivery" localSheetId="10">#REF!</definedName>
    <definedName name="request_delivery" localSheetId="2">#REF!</definedName>
    <definedName name="request_delivery">#REF!</definedName>
    <definedName name="required" localSheetId="16">#REF!</definedName>
    <definedName name="required">#REF!</definedName>
    <definedName name="rere" localSheetId="16">#REF!</definedName>
    <definedName name="rere">#REF!</definedName>
    <definedName name="results_range">#REF!</definedName>
    <definedName name="retn">#REF!</definedName>
    <definedName name="Rev" localSheetId="16">#REF!</definedName>
    <definedName name="Rev">#REF!</definedName>
    <definedName name="Revision" localSheetId="16">#REF!</definedName>
    <definedName name="Revision">#REF!</definedName>
    <definedName name="revision1">#REF!</definedName>
    <definedName name="REVISION12">#REF!</definedName>
    <definedName name="REVISION23">#REF!</definedName>
    <definedName name="Rg">#REF!</definedName>
    <definedName name="rgs">#REF!</definedName>
    <definedName name="RH">#REF!</definedName>
    <definedName name="RHS">#REF!</definedName>
    <definedName name="rig">#REF!</definedName>
    <definedName name="rig_13">"$#REF!.$J$43"</definedName>
    <definedName name="rig_9">"'file:///E:/Perlos/Revised%20Tender/Perlos%20R1%20With%20VAT%20Nil%20ED%20&amp;%20ST.xls'#$''.$J$61"</definedName>
    <definedName name="rimc">#REF!</definedName>
    <definedName name="Ritz">#REF!</definedName>
    <definedName name="Rl" localSheetId="16">#REF!</definedName>
    <definedName name="Rl">#REF!</definedName>
    <definedName name="Rl___0" localSheetId="16">#REF!</definedName>
    <definedName name="Rl___0">#REF!</definedName>
    <definedName name="Rl___13">#REF!</definedName>
    <definedName name="rm4e" localSheetId="4">#REF!</definedName>
    <definedName name="rm4e">#REF!</definedName>
    <definedName name="rm4e_1">#REF!</definedName>
    <definedName name="rm4e_16">#REF!</definedName>
    <definedName name="rm4e_16_1">#REF!</definedName>
    <definedName name="rm4e_17">#REF!</definedName>
    <definedName name="rm4e_17_1">#REF!</definedName>
    <definedName name="rm4e_18">#REF!</definedName>
    <definedName name="rm4e_18_1">#REF!</definedName>
    <definedName name="rm4e_19">#REF!</definedName>
    <definedName name="rm4e_19_1">#REF!</definedName>
    <definedName name="rm4e_4">#REF!</definedName>
    <definedName name="rm4e_4_1">#REF!</definedName>
    <definedName name="rm4e_5">#REF!</definedName>
    <definedName name="rm4e_5_1">#REF!</definedName>
    <definedName name="rm4e_6">#REF!</definedName>
    <definedName name="rm4e_6_1">#REF!</definedName>
    <definedName name="rm4e_7">#REF!</definedName>
    <definedName name="rm4e_7_1">#REF!</definedName>
    <definedName name="rm4e_8">#REF!</definedName>
    <definedName name="rm4e_8_1">#REF!</definedName>
    <definedName name="rm4e_9">#REF!</definedName>
    <definedName name="rm4e_9_1">#REF!</definedName>
    <definedName name="RMC">#REF!</definedName>
    <definedName name="rmcaccp">[97]Estimate!#REF!</definedName>
    <definedName name="rmcecp">[97]Estimate!#REF!</definedName>
    <definedName name="rmcmcc.1">[97]Estimate!#REF!</definedName>
    <definedName name="rmcmcc.2">[97]Estimate!#REF!</definedName>
    <definedName name="rmcmcc.3">[97]Estimate!#REF!</definedName>
    <definedName name="rmcmltsb">[97]Estimate!#REF!</definedName>
    <definedName name="rmcmsb.ups">[97]Estimate!#REF!</definedName>
    <definedName name="rmcsmsb.1">[97]Estimate!#REF!</definedName>
    <definedName name="rmcsmsb.2">[97]Estimate!#REF!</definedName>
    <definedName name="rmcsmsb.3">[97]Estimate!#REF!</definedName>
    <definedName name="rmcsmsb.b">[97]Estimate!#REF!</definedName>
    <definedName name="rmcsmsb.g">[97]Estimate!#REF!</definedName>
    <definedName name="rmcsmsb.lab">[97]Estimate!#REF!</definedName>
    <definedName name="rmcsmsb.main">[97]Estimate!#REF!</definedName>
    <definedName name="rmcsmsb.t">[97]Estimate!#REF!</definedName>
    <definedName name="rmcsmsb.ups">[97]Estimate!#REF!</definedName>
    <definedName name="rmcup.1">[97]Estimate!#REF!</definedName>
    <definedName name="rmcup.2">[97]Estimate!#REF!</definedName>
    <definedName name="RMMAIn" localSheetId="2">#REF!</definedName>
    <definedName name="RMMAIn">#REF!</definedName>
    <definedName name="RNN" localSheetId="16">[16]COLUMN!#REF!</definedName>
    <definedName name="RNN">#REF!</definedName>
    <definedName name="robot" localSheetId="16">#REF!</definedName>
    <definedName name="robot" localSheetId="11">#REF!</definedName>
    <definedName name="robot" localSheetId="12">#REF!</definedName>
    <definedName name="robot" localSheetId="13">#REF!</definedName>
    <definedName name="robot" localSheetId="14">#REF!</definedName>
    <definedName name="robot" localSheetId="15">#REF!</definedName>
    <definedName name="robot" localSheetId="10">#REF!</definedName>
    <definedName name="robot" localSheetId="2">#REF!</definedName>
    <definedName name="robot">#REF!</definedName>
    <definedName name="robot_13">"$#REF!.$I$94"</definedName>
    <definedName name="robot_9">"'file:///E:/Perlos/Revised%20Tender/Perlos%20R1%20With%20VAT%20Nil%20ED%20&amp;%20ST.xls'#$''.$I$112"</definedName>
    <definedName name="rose" localSheetId="16">#REF!</definedName>
    <definedName name="rose">#REF!</definedName>
    <definedName name="rosid" localSheetId="16">#REF!</definedName>
    <definedName name="rosid">#REF!</definedName>
    <definedName name="rosid_13">"$#REF!.$J$94"</definedName>
    <definedName name="rosid_9">"'file:///E:/Perlos/Revised%20Tender/Perlos%20R1%20With%20VAT%20Nil%20ED%20&amp;%20ST.xls'#$''.$J$112"</definedName>
    <definedName name="rr">#REF!</definedName>
    <definedName name="rrcost">#REF!</definedName>
    <definedName name="rrk">#REF!</definedName>
    <definedName name="rrrrrrr">#REF!</definedName>
    <definedName name="rrrrrrrrrrrrrrrr">#REF!</definedName>
    <definedName name="Rs">#REF!</definedName>
    <definedName name="Rs___0">#REF!</definedName>
    <definedName name="Rs___13">#REF!</definedName>
    <definedName name="rsat">#REF!</definedName>
    <definedName name="Rse">#REF!</definedName>
    <definedName name="Rse___0">#REF!</definedName>
    <definedName name="Rse___13">#REF!</definedName>
    <definedName name="rt" localSheetId="16">IF(How_many_floors&gt;0,1,0)</definedName>
    <definedName name="rt" localSheetId="2">IF(How_many_floors&gt;0,1,0)</definedName>
    <definedName name="rt">IF(How_many_floors&gt;0,1,0)</definedName>
    <definedName name="rtr" localSheetId="16">#REF!</definedName>
    <definedName name="rtr" localSheetId="2">#REF!</definedName>
    <definedName name="rtr">#REF!</definedName>
    <definedName name="rtre" localSheetId="16">#REF!</definedName>
    <definedName name="rtre">#REF!</definedName>
    <definedName name="rty" localSheetId="16">#REF!</definedName>
    <definedName name="rty">#REF!</definedName>
    <definedName name="RUPEE">#REF!</definedName>
    <definedName name="S" localSheetId="4">#REF!</definedName>
    <definedName name="s">#REF!</definedName>
    <definedName name="S.K.L.1.2.3">#REF!</definedName>
    <definedName name="S.L.WALL">#REF!</definedName>
    <definedName name="S.NO.">[66]sheeet7!#REF!</definedName>
    <definedName name="S.S.WALL" localSheetId="16">#REF!</definedName>
    <definedName name="S.S.WALL">#REF!</definedName>
    <definedName name="S.WALL" localSheetId="16">#REF!</definedName>
    <definedName name="S.WALL">#REF!</definedName>
    <definedName name="S0" localSheetId="16">#REF!</definedName>
    <definedName name="S0">#REF!</definedName>
    <definedName name="s1_1">#REF!</definedName>
    <definedName name="s2_1">#REF!</definedName>
    <definedName name="s4_1">#REF!</definedName>
    <definedName name="Sa">#REF!</definedName>
    <definedName name="sal">#REF!</definedName>
    <definedName name="SALARY">#REF!</definedName>
    <definedName name="SALARY1">#REF!</definedName>
    <definedName name="SALEFACT">#REF!</definedName>
    <definedName name="SalesMgr">#REF!</definedName>
    <definedName name="Sample">#REF!</definedName>
    <definedName name="sanat">#REF!</definedName>
    <definedName name="sanat_1">#REF!</definedName>
    <definedName name="sanBasic">'[24]A.O.R r1'!#REF!</definedName>
    <definedName name="Sand_124">'[82]Rate Analysis'!$D$435</definedName>
    <definedName name="SAND_FILL" localSheetId="16">#REF!</definedName>
    <definedName name="SAND_FILL" localSheetId="4">#REF!</definedName>
    <definedName name="SAND_FILL">#REF!</definedName>
    <definedName name="Sanitary_works" localSheetId="16">#REF!</definedName>
    <definedName name="Sanitary_works">#REF!</definedName>
    <definedName name="SanitaryBasic" localSheetId="16">#REF!</definedName>
    <definedName name="SanitaryBasic">#REF!</definedName>
    <definedName name="SAP">#REF!</definedName>
    <definedName name="saucomd">#REF!</definedName>
    <definedName name="saucstf">#REF!</definedName>
    <definedName name="saud">#REF!</definedName>
    <definedName name="saudirf">#REF!</definedName>
    <definedName name="sauf">#REF!</definedName>
    <definedName name="sauif">#REF!</definedName>
    <definedName name="sauspad">#REF!</definedName>
    <definedName name="sausysd">#REF!</definedName>
    <definedName name="sbas">'[24]A.O.R r1Str'!#REF!</definedName>
    <definedName name="SC" localSheetId="16">#REF!</definedName>
    <definedName name="SC" localSheetId="11">#REF!</definedName>
    <definedName name="SC" localSheetId="12">#REF!</definedName>
    <definedName name="SC" localSheetId="13">#REF!</definedName>
    <definedName name="SC" localSheetId="14">#REF!</definedName>
    <definedName name="SC" localSheetId="15">#REF!</definedName>
    <definedName name="SC" localSheetId="10">#REF!</definedName>
    <definedName name="SC" localSheetId="2">#REF!</definedName>
    <definedName name="SC">#REF!</definedName>
    <definedName name="Scaff" localSheetId="2">[98]Boq!#REF!</definedName>
    <definedName name="Scaff">[98]Boq!#REF!</definedName>
    <definedName name="scaff1" localSheetId="16">#REF!</definedName>
    <definedName name="scaff1" localSheetId="2">#REF!</definedName>
    <definedName name="scaff1">#REF!</definedName>
    <definedName name="SCAFFFFFFFFFF" localSheetId="16">#REF!</definedName>
    <definedName name="SCAFFFFFFFFFF">#REF!</definedName>
    <definedName name="scd">#REF!</definedName>
    <definedName name="Sched_Pay" localSheetId="16">#REF!</definedName>
    <definedName name="Sched_Pay">#REF!</definedName>
    <definedName name="Scheduled_Extra_Payments">#REF!</definedName>
    <definedName name="Scheduled_Interest_Rate">#REF!</definedName>
    <definedName name="Scheduled_Monthly_Payment">#REF!</definedName>
    <definedName name="schools">#REF!</definedName>
    <definedName name="schools_13">"$#REF!.$I$6"</definedName>
    <definedName name="schools_9">"'file:///E:/Perlos/Revised%20Tender/Perlos%20R1%20With%20VAT%20Nil%20ED%20&amp;%20ST.xls'#$''.$AU$47"</definedName>
    <definedName name="sd" hidden="1">[11]A.O.R.!#REF!</definedName>
    <definedName name="Sdate" localSheetId="16">#REF!</definedName>
    <definedName name="Sdate" localSheetId="11">#REF!</definedName>
    <definedName name="Sdate" localSheetId="12">#REF!</definedName>
    <definedName name="Sdate" localSheetId="13">#REF!</definedName>
    <definedName name="Sdate" localSheetId="14">#REF!</definedName>
    <definedName name="Sdate" localSheetId="15">#REF!</definedName>
    <definedName name="Sdate" localSheetId="10">#REF!</definedName>
    <definedName name="Sdate" localSheetId="2">#REF!</definedName>
    <definedName name="Sdate">#REF!</definedName>
    <definedName name="SDD" localSheetId="16">#REF!</definedName>
    <definedName name="SDD">#REF!</definedName>
    <definedName name="sdddsdsd" localSheetId="16">#REF!</definedName>
    <definedName name="sdddsdsd">#REF!</definedName>
    <definedName name="sdf">#REF!</definedName>
    <definedName name="SDFASHDF">#REF!</definedName>
    <definedName name="sdfd">#REF!</definedName>
    <definedName name="sdfdxg">#REF!</definedName>
    <definedName name="sdpl">#REF!</definedName>
    <definedName name="SDPLBS">#REF!</definedName>
    <definedName name="SDPLFA">#REF!</definedName>
    <definedName name="SDPLPL">#REF!</definedName>
    <definedName name="sds">#REF!</definedName>
    <definedName name="sdsad">#REF!</definedName>
    <definedName name="sdsd">#REF!</definedName>
    <definedName name="sdsddds">#REF!</definedName>
    <definedName name="sdsds">#REF!</definedName>
    <definedName name="sdsdsd">#REF!</definedName>
    <definedName name="sdsf">[22]Boq!#REF!</definedName>
    <definedName name="sdsfds1a3f1ds32" localSheetId="16">#REF!</definedName>
    <definedName name="sdsfds1a3f1ds32">#REF!</definedName>
    <definedName name="sdssd" localSheetId="16">#REF!</definedName>
    <definedName name="sdssd">#REF!</definedName>
    <definedName name="se" localSheetId="16">#REF!</definedName>
    <definedName name="se">#REF!</definedName>
    <definedName name="sec" localSheetId="4" hidden="1">#REF!</definedName>
    <definedName name="sec" localSheetId="0" hidden="1">#REF!</definedName>
    <definedName name="sec">#REF!</definedName>
    <definedName name="SEC._DEPOSIT">#REF!</definedName>
    <definedName name="sec_deposit">#REF!</definedName>
    <definedName name="sec_deposit1">#REF!</definedName>
    <definedName name="SECTION">#REF!</definedName>
    <definedName name="Section_1_Title">#REF!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cured">#REF!</definedName>
    <definedName name="security">#N/A</definedName>
    <definedName name="security_2">#N/A</definedName>
    <definedName name="see" localSheetId="16">#REF!</definedName>
    <definedName name="see">#REF!</definedName>
    <definedName name="sef">#REF!</definedName>
    <definedName name="sek">#REF!</definedName>
    <definedName name="SelectedLanguage">#REF!</definedName>
    <definedName name="sellable">'[31]Detailed Summary (4)'!$D$5</definedName>
    <definedName name="sencount" hidden="1">1</definedName>
    <definedName name="ser" localSheetId="4" hidden="1">#REF!</definedName>
    <definedName name="ser" localSheetId="0" hidden="1">#REF!</definedName>
    <definedName name="ser">#REF!</definedName>
    <definedName name="serf" localSheetId="16">#REF!</definedName>
    <definedName name="serf" localSheetId="11">#REF!</definedName>
    <definedName name="serf" localSheetId="12">#REF!</definedName>
    <definedName name="serf" localSheetId="13">#REF!</definedName>
    <definedName name="serf" localSheetId="14">#REF!</definedName>
    <definedName name="serf" localSheetId="15">#REF!</definedName>
    <definedName name="serf" localSheetId="10">#REF!</definedName>
    <definedName name="serf" localSheetId="4">#REF!</definedName>
    <definedName name="serf">#REF!</definedName>
    <definedName name="serf_1" localSheetId="16">#REF!</definedName>
    <definedName name="serf_1">#REF!</definedName>
    <definedName name="serf_16">#REF!</definedName>
    <definedName name="serf_16_1">#REF!</definedName>
    <definedName name="serf_17">#REF!</definedName>
    <definedName name="serf_17_1">#REF!</definedName>
    <definedName name="serf_18">#REF!</definedName>
    <definedName name="serf_18_1">#REF!</definedName>
    <definedName name="serf_19">#REF!</definedName>
    <definedName name="serf_19_1">#REF!</definedName>
    <definedName name="serf_4">#REF!</definedName>
    <definedName name="serf_4_1">#REF!</definedName>
    <definedName name="serf_5">#REF!</definedName>
    <definedName name="serf_5_1">#REF!</definedName>
    <definedName name="serf_6">#REF!</definedName>
    <definedName name="serf_6_1">#REF!</definedName>
    <definedName name="serf_7">#REF!</definedName>
    <definedName name="serf_7_1">#REF!</definedName>
    <definedName name="serf_8">#REF!</definedName>
    <definedName name="serf_8_1">#REF!</definedName>
    <definedName name="serf_9">#REF!</definedName>
    <definedName name="serf_9_1">#REF!</definedName>
    <definedName name="servf">#REF!</definedName>
    <definedName name="Service">#REF!</definedName>
    <definedName name="Setflag">#REF!</definedName>
    <definedName name="SF" localSheetId="11">#REF!</definedName>
    <definedName name="SF" localSheetId="12">#REF!</definedName>
    <definedName name="SF" localSheetId="13">#REF!</definedName>
    <definedName name="SF" localSheetId="14">#REF!</definedName>
    <definedName name="SF" localSheetId="15">#REF!</definedName>
    <definedName name="SF" localSheetId="10">#REF!</definedName>
    <definedName name="SF">#REF!</definedName>
    <definedName name="SF_Comm">#REF!</definedName>
    <definedName name="SF_IBS">#REF!</definedName>
    <definedName name="SF_Inst">#REF!</definedName>
    <definedName name="sfasf">#REF!</definedName>
    <definedName name="sgbfcg" localSheetId="11">#REF!</definedName>
    <definedName name="sgbfcg" localSheetId="12">#REF!</definedName>
    <definedName name="sgbfcg" localSheetId="13">#REF!</definedName>
    <definedName name="sgbfcg" localSheetId="14">#REF!</definedName>
    <definedName name="sgbfcg" localSheetId="15">#REF!</definedName>
    <definedName name="sgbfcg" localSheetId="10">#REF!</definedName>
    <definedName name="sgbfcg">#REF!</definedName>
    <definedName name="SGD">#REF!</definedName>
    <definedName name="sgh">#REF!</definedName>
    <definedName name="sh0.5">#REF!</definedName>
    <definedName name="sh0.6">#REF!</definedName>
    <definedName name="sh0.8">#REF!</definedName>
    <definedName name="sh1.0">#REF!</definedName>
    <definedName name="sh1.2">#REF!</definedName>
    <definedName name="Shaft_A">#REF!</definedName>
    <definedName name="Shaft_B">#REF!</definedName>
    <definedName name="Shaft_B_Alt">#REF!</definedName>
    <definedName name="shape">#REF!</definedName>
    <definedName name="shd" localSheetId="4">#REF!</definedName>
    <definedName name="shd">#REF!</definedName>
    <definedName name="shd_1">#REF!</definedName>
    <definedName name="shd_16">#REF!</definedName>
    <definedName name="shd_16_1">#REF!</definedName>
    <definedName name="shd_17">#REF!</definedName>
    <definedName name="shd_17_1">#REF!</definedName>
    <definedName name="shd_18">#REF!</definedName>
    <definedName name="shd_18_1">#REF!</definedName>
    <definedName name="shd_19">#REF!</definedName>
    <definedName name="shd_19_1">#REF!</definedName>
    <definedName name="shd_4">#REF!</definedName>
    <definedName name="shd_4_1">#REF!</definedName>
    <definedName name="shd_5">#REF!</definedName>
    <definedName name="shd_5_1">#REF!</definedName>
    <definedName name="shd_6">#REF!</definedName>
    <definedName name="shd_6_1">#REF!</definedName>
    <definedName name="shd_7">#REF!</definedName>
    <definedName name="shd_7_1">#REF!</definedName>
    <definedName name="shd_8">#REF!</definedName>
    <definedName name="shd_8_1">#REF!</definedName>
    <definedName name="shd_9">#REF!</definedName>
    <definedName name="shd_9_1">#REF!</definedName>
    <definedName name="shearstuds">#REF!</definedName>
    <definedName name="shearstuds1100">#REF!</definedName>
    <definedName name="shearstuds12001300">#REF!</definedName>
    <definedName name="shearsuds12001300">#REF!</definedName>
    <definedName name="sheet" localSheetId="16">[98]Boq!#REF!</definedName>
    <definedName name="sheet" localSheetId="2">#REF!</definedName>
    <definedName name="sheet">#REF!</definedName>
    <definedName name="sheet1" localSheetId="16">#REF!</definedName>
    <definedName name="sheet1" localSheetId="11">#REF!</definedName>
    <definedName name="sheet1" localSheetId="12">#REF!</definedName>
    <definedName name="sheet1" localSheetId="13">#REF!</definedName>
    <definedName name="sheet1" localSheetId="14">#REF!</definedName>
    <definedName name="sheet1" localSheetId="15">#REF!</definedName>
    <definedName name="sheet1" localSheetId="10">#REF!</definedName>
    <definedName name="sheet1" localSheetId="2">#REF!</definedName>
    <definedName name="sheet1">#REF!</definedName>
    <definedName name="sheet1___0" localSheetId="16">#REF!</definedName>
    <definedName name="sheet1___0">#REF!</definedName>
    <definedName name="sheet1___13" localSheetId="16">#REF!</definedName>
    <definedName name="sheet1___13">#REF!</definedName>
    <definedName name="sheetpile">#REF!</definedName>
    <definedName name="sheetpiledrive">#REF!</definedName>
    <definedName name="sheetpileextract">#REF!</definedName>
    <definedName name="sheetpileinstall">#REF!</definedName>
    <definedName name="sheetpileresidual">#REF!</definedName>
    <definedName name="Shell">#REF!</definedName>
    <definedName name="SHEN">#REF!</definedName>
    <definedName name="shf" localSheetId="4">#REF!</definedName>
    <definedName name="shf">#REF!</definedName>
    <definedName name="shf_1">#REF!</definedName>
    <definedName name="shf_16">#REF!</definedName>
    <definedName name="shf_16_1">#REF!</definedName>
    <definedName name="shf_17">#REF!</definedName>
    <definedName name="shf_17_1">#REF!</definedName>
    <definedName name="shf_18">#REF!</definedName>
    <definedName name="shf_18_1">#REF!</definedName>
    <definedName name="shf_19">#REF!</definedName>
    <definedName name="shf_19_1">#REF!</definedName>
    <definedName name="shf_4">#REF!</definedName>
    <definedName name="shf_4_1">#REF!</definedName>
    <definedName name="shf_5">#REF!</definedName>
    <definedName name="shf_5_1">#REF!</definedName>
    <definedName name="shf_6">#REF!</definedName>
    <definedName name="shf_6_1">#REF!</definedName>
    <definedName name="shf_7">#REF!</definedName>
    <definedName name="shf_7_1">#REF!</definedName>
    <definedName name="shf_8">#REF!</definedName>
    <definedName name="shf_8_1">#REF!</definedName>
    <definedName name="shf_9">#REF!</definedName>
    <definedName name="shf_9_1">#REF!</definedName>
    <definedName name="shi">#REF!</definedName>
    <definedName name="shiva">#REF!</definedName>
    <definedName name="SHOHIZEI_GAKU">#REF!</definedName>
    <definedName name="SHOHIZEI_GAKU_2">#REF!</definedName>
    <definedName name="shotcrete">#REF!</definedName>
    <definedName name="ShoulderEmb.">#REF!</definedName>
    <definedName name="ShoulderSubbase">#REF!</definedName>
    <definedName name="SHOW_TO_CUSTOME">#REF!</definedName>
    <definedName name="Shree" localSheetId="16">MATCH(0.01,'C&amp;I Makes'!End_Bal,-1)+1</definedName>
    <definedName name="Shree" localSheetId="2">MATCH(0.01,End_Bal,-1)+1</definedName>
    <definedName name="Shree">MATCH(0.01,End_Bal,-1)+1</definedName>
    <definedName name="shstl8bk8">#REF!</definedName>
    <definedName name="si" localSheetId="16">#REF!</definedName>
    <definedName name="si" localSheetId="11">#REF!</definedName>
    <definedName name="si" localSheetId="12">#REF!</definedName>
    <definedName name="si" localSheetId="13">#REF!</definedName>
    <definedName name="si" localSheetId="14">#REF!</definedName>
    <definedName name="si" localSheetId="15">#REF!</definedName>
    <definedName name="si" localSheetId="10">#REF!</definedName>
    <definedName name="si" localSheetId="2">#REF!</definedName>
    <definedName name="si">#REF!</definedName>
    <definedName name="siemens">#REF!</definedName>
    <definedName name="SIGLINE1" localSheetId="16">#REF!</definedName>
    <definedName name="SIGLINE1">#REF!</definedName>
    <definedName name="SIGLINE2" localSheetId="16">#REF!</definedName>
    <definedName name="SIGLINE2">#REF!</definedName>
    <definedName name="SIGLINE3">#REF!</definedName>
    <definedName name="SIGLINE4">#REF!</definedName>
    <definedName name="sigma0.2">#REF!</definedName>
    <definedName name="sigma0_2">#REF!</definedName>
    <definedName name="sigmab">#REF!</definedName>
    <definedName name="sigmah">#REF!</definedName>
    <definedName name="sigmat">#REF!</definedName>
    <definedName name="silty_lots">#REF!</definedName>
    <definedName name="SingleCur">#REF!</definedName>
    <definedName name="SingleEuro">#REF!</definedName>
    <definedName name="SinglrCur">#REF!</definedName>
    <definedName name="site">#REF!</definedName>
    <definedName name="SITE_OFFICES">#REF!</definedName>
    <definedName name="SITE_STAFF">#REF!</definedName>
    <definedName name="SiteEstablishmentandOH">5.5/100</definedName>
    <definedName name="SiteID">#REF!</definedName>
    <definedName name="SiteType">#REF!</definedName>
    <definedName name="SITEWORKS">#REF!</definedName>
    <definedName name="sixtesoc">#REF!</definedName>
    <definedName name="SIXTH">#REF!</definedName>
    <definedName name="SIZE">#REF!</definedName>
    <definedName name="ska" localSheetId="16" hidden="1">{#N/A,#N/A,TRUE,"Front";#N/A,#N/A,TRUE,"Simple Letter";#N/A,#N/A,TRUE,"Inside";#N/A,#N/A,TRUE,"Contents";#N/A,#N/A,TRUE,"Basis";#N/A,#N/A,TRUE,"Inclusions";#N/A,#N/A,TRUE,"Exclusions";#N/A,#N/A,TRUE,"Areas";#N/A,#N/A,TRUE,"Summary";#N/A,#N/A,TRUE,"Detail"}</definedName>
    <definedName name="ska" localSheetId="2"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16" hidden="1">{#N/A,#N/A,TRUE,"Front";#N/A,#N/A,TRUE,"Simple Letter";#N/A,#N/A,TRUE,"Inside";#N/A,#N/A,TRUE,"Contents";#N/A,#N/A,TRUE,"Basis";#N/A,#N/A,TRUE,"Inclusions";#N/A,#N/A,TRUE,"Exclusions";#N/A,#N/A,TRUE,"Areas";#N/A,#N/A,TRUE,"Summary";#N/A,#N/A,TRUE,"Detail"}</definedName>
    <definedName name="skq" localSheetId="2"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L" localSheetId="16">'[47]Factor Sheet'!$D$150</definedName>
    <definedName name="sl">#REF!</definedName>
    <definedName name="SL_NO" localSheetId="16">#REF!</definedName>
    <definedName name="SL_NO">#REF!</definedName>
    <definedName name="sla" localSheetId="16">'[99]Pile cap'!#REF!</definedName>
    <definedName name="sla">'[99]Pile cap'!#REF!</definedName>
    <definedName name="slab" localSheetId="16">#REF!</definedName>
    <definedName name="slab" localSheetId="2">#REF!</definedName>
    <definedName name="slab">#REF!</definedName>
    <definedName name="SLAB1" localSheetId="16">#REF!</definedName>
    <definedName name="SLAB1">#REF!</definedName>
    <definedName name="SLAB12" localSheetId="16">#REF!</definedName>
    <definedName name="SLAB12">#REF!</definedName>
    <definedName name="SLAB13">#REF!</definedName>
    <definedName name="slab2">#REF!</definedName>
    <definedName name="slab20">#REF!</definedName>
    <definedName name="slab21">#REF!</definedName>
    <definedName name="slab22">#REF!</definedName>
    <definedName name="SLAB31">#REF!</definedName>
    <definedName name="slab7">#REF!</definedName>
    <definedName name="slab8">#REF!</definedName>
    <definedName name="SLOPE">#REF!</definedName>
    <definedName name="sm">#REF!</definedName>
    <definedName name="SmallProj">#REF!</definedName>
    <definedName name="SmallProj_Text">#REF!</definedName>
    <definedName name="smcc">#REF!</definedName>
    <definedName name="SMD">#REF!</definedName>
    <definedName name="SMDC">#REF!</definedName>
    <definedName name="smmmm12">#REF!</definedName>
    <definedName name="SMOF">#REF!</definedName>
    <definedName name="SMOL">#REF!</definedName>
    <definedName name="smsb">'[7]Costing-blk-B'!#REF!</definedName>
    <definedName name="soh">1%</definedName>
    <definedName name="soilimprove">#REF!</definedName>
    <definedName name="soldierpile600">#REF!</definedName>
    <definedName name="soldierpiledisposal">#REF!</definedName>
    <definedName name="sonbf">#REF!</definedName>
    <definedName name="sond">#REF!</definedName>
    <definedName name="sondf">#REF!</definedName>
    <definedName name="sonhf">#REF!</definedName>
    <definedName name="SONTF" localSheetId="16">[32]factors!#REF!</definedName>
    <definedName name="SONTF" localSheetId="4">[32]factors!#REF!</definedName>
    <definedName name="SONTF">[32]factors!#REF!</definedName>
    <definedName name="SONTF_1" localSheetId="16">[33]factors!#REF!</definedName>
    <definedName name="SONTF_1">[33]factors!#REF!</definedName>
    <definedName name="SONTF_16" localSheetId="16">[33]factors!#REF!</definedName>
    <definedName name="SONTF_16">[33]factors!#REF!</definedName>
    <definedName name="SONTF_16_1" localSheetId="16">[34]factors!#REF!</definedName>
    <definedName name="SONTF_16_1">[34]factors!#REF!</definedName>
    <definedName name="SONTF_17">[34]factors!#REF!</definedName>
    <definedName name="SONTF_17_1">[34]factors!#REF!</definedName>
    <definedName name="SONTF_18">[34]factors!#REF!</definedName>
    <definedName name="SONTF_18_1">[34]factors!#REF!</definedName>
    <definedName name="SONTF_19">[34]factors!#REF!</definedName>
    <definedName name="SONTF_19_1">[34]factors!#REF!</definedName>
    <definedName name="SONTF_4">[34]factors!#REF!</definedName>
    <definedName name="SONTF_4_1">[34]factors!#REF!</definedName>
    <definedName name="SONTF_5">[34]factors!#REF!</definedName>
    <definedName name="SONTF_5_1">[34]factors!#REF!</definedName>
    <definedName name="SONTF_6">[34]factors!#REF!</definedName>
    <definedName name="SONTF_6_1">[34]factors!#REF!</definedName>
    <definedName name="SONTF_7">[34]factors!#REF!</definedName>
    <definedName name="SONTF_7_1">[34]factors!#REF!</definedName>
    <definedName name="SONTF_8">[34]factors!#REF!</definedName>
    <definedName name="SONTF_8_1">[34]factors!#REF!</definedName>
    <definedName name="SONTF_9">[34]factors!#REF!</definedName>
    <definedName name="SONTF_9_1">[34]factors!#REF!</definedName>
    <definedName name="SORT" localSheetId="16">#REF!</definedName>
    <definedName name="SORT">#REF!</definedName>
    <definedName name="SozlesmeRsYenParitesi" localSheetId="16">#REF!</definedName>
    <definedName name="SozlesmeRsYenParitesi">#REF!</definedName>
    <definedName name="SozlesmeYenUSDParitesi" localSheetId="16">#REF!</definedName>
    <definedName name="SozlesmeYenUSDParitesi">#REF!</definedName>
    <definedName name="sp">4%</definedName>
    <definedName name="SP1Branch">#REF!</definedName>
    <definedName name="SP1Credit">#REF!</definedName>
    <definedName name="SP1Name">#REF!</definedName>
    <definedName name="SP1Number">#REF!</definedName>
    <definedName name="sp28p375ex1">#REF!</definedName>
    <definedName name="SP2Branch">#REF!</definedName>
    <definedName name="SP2Credit">#REF!</definedName>
    <definedName name="SP2Name">#REF!</definedName>
    <definedName name="SP2Number">#REF!</definedName>
    <definedName name="SP3Branch">#REF!</definedName>
    <definedName name="SP3Credit">#REF!</definedName>
    <definedName name="SP3Name">#REF!</definedName>
    <definedName name="SP3Number">#REF!</definedName>
    <definedName name="SP4Branch">#REF!</definedName>
    <definedName name="SP4Credit">#REF!</definedName>
    <definedName name="SP4Name">#REF!</definedName>
    <definedName name="SP4Number">#REF!</definedName>
    <definedName name="SP5Branch">#REF!</definedName>
    <definedName name="SP5Credit">#REF!</definedName>
    <definedName name="SP5Name">#REF!</definedName>
    <definedName name="SP5Number">#REF!</definedName>
    <definedName name="span">#REF!</definedName>
    <definedName name="SPC">#REF!</definedName>
    <definedName name="spd">#REF!</definedName>
    <definedName name="spec" localSheetId="16">#REF!,#REF!,#REF!</definedName>
    <definedName name="spec" localSheetId="11">#REF!,#REF!,#REF!</definedName>
    <definedName name="spec" localSheetId="12">#REF!,#REF!,#REF!</definedName>
    <definedName name="spec" localSheetId="13">#REF!,#REF!,#REF!</definedName>
    <definedName name="spec" localSheetId="14">#REF!,#REF!,#REF!</definedName>
    <definedName name="spec" localSheetId="15">#REF!,#REF!,#REF!</definedName>
    <definedName name="spec" localSheetId="10">#REF!,#REF!,#REF!</definedName>
    <definedName name="spec" localSheetId="2">#REF!,#REF!,#REF!</definedName>
    <definedName name="spec">#REF!,#REF!,#REF!</definedName>
    <definedName name="spec_light" localSheetId="16">#REF!</definedName>
    <definedName name="spec_light">#REF!</definedName>
    <definedName name="SpecClass">#REF!</definedName>
    <definedName name="SpecClass_Text">#REF!</definedName>
    <definedName name="SpecEnv1">#REF!</definedName>
    <definedName name="SpecEnv1_Text">#REF!</definedName>
    <definedName name="SpecEnv2">#REF!</definedName>
    <definedName name="SpecEnv2_Text">#REF!</definedName>
    <definedName name="SpecialPrice" hidden="1">#REF!</definedName>
    <definedName name="Specification">#REF!</definedName>
    <definedName name="SPECSUMMARY">#REF!</definedName>
    <definedName name="spfactor">'[100]Final Bill of Material'!#REF!</definedName>
    <definedName name="SPOT1" localSheetId="16">#REF!</definedName>
    <definedName name="SPOT1" localSheetId="2">#REF!</definedName>
    <definedName name="SPOT1">#REF!</definedName>
    <definedName name="SPSUM">[37]R2!$C$13</definedName>
    <definedName name="Sqbar102" localSheetId="16">#REF!</definedName>
    <definedName name="Sqbar102">#REF!</definedName>
    <definedName name="Sqbar10gs2" localSheetId="16">#REF!</definedName>
    <definedName name="Sqbar10gs2">#REF!</definedName>
    <definedName name="Sqbar122" localSheetId="16">#REF!</definedName>
    <definedName name="Sqbar122">#REF!</definedName>
    <definedName name="Sqbar12gs2">#REF!</definedName>
    <definedName name="Sqbeam2">#REF!</definedName>
    <definedName name="Sqcef2">#REF!</definedName>
    <definedName name="Sqcesk2">#REF!</definedName>
    <definedName name="Sqcew2">#REF!</definedName>
    <definedName name="Sqcew5202">#REF!</definedName>
    <definedName name="Sqdoor2">#REF!</definedName>
    <definedName name="Sqemul2">#REF!</definedName>
    <definedName name="Sqepox2">#REF!</definedName>
    <definedName name="Sqexca2">#REF!</definedName>
    <definedName name="Sqfnm2">#REF!</definedName>
    <definedName name="Sqfoot2">#REF!</definedName>
    <definedName name="Sqfwt2">#REF!</definedName>
    <definedName name="Sqgranfl2">#REF!</definedName>
    <definedName name="Sqgransk2">#REF!</definedName>
    <definedName name="Sqgsl2">#REF!</definedName>
    <definedName name="Sqinsu2">#REF!</definedName>
    <definedName name="Sqiso2">#REF!</definedName>
    <definedName name="Sqlean2">#REF!</definedName>
    <definedName name="Sqltbar2">#REF!</definedName>
    <definedName name="Sqltconc2">#REF!</definedName>
    <definedName name="Sqluxa2">#REF!</definedName>
    <definedName name="Sqmastic2">#REF!</definedName>
    <definedName name="Sqplast202">#REF!</definedName>
    <definedName name="Sqplastbeam2">#REF!</definedName>
    <definedName name="Sqradcon2">#REF!</definedName>
    <definedName name="SQRT__1___0.6___1.0" localSheetId="16">#REF!</definedName>
    <definedName name="SQRT__1___0.6___1.0" localSheetId="11">#REF!</definedName>
    <definedName name="SQRT__1___0.6___1.0" localSheetId="12">#REF!</definedName>
    <definedName name="SQRT__1___0.6___1.0" localSheetId="13">#REF!</definedName>
    <definedName name="SQRT__1___0.6___1.0" localSheetId="14">#REF!</definedName>
    <definedName name="SQRT__1___0.6___1.0" localSheetId="15">#REF!</definedName>
    <definedName name="SQRT__1___0.6___1.0" localSheetId="10">#REF!</definedName>
    <definedName name="SQRT__1___0.6___1.0">#REF!</definedName>
    <definedName name="SQRT__1___0_6___1_0" localSheetId="16">#REF!</definedName>
    <definedName name="SQRT__1___0_6___1_0" localSheetId="11">#REF!</definedName>
    <definedName name="SQRT__1___0_6___1_0" localSheetId="12">#REF!</definedName>
    <definedName name="SQRT__1___0_6___1_0" localSheetId="13">#REF!</definedName>
    <definedName name="SQRT__1___0_6___1_0" localSheetId="14">#REF!</definedName>
    <definedName name="SQRT__1___0_6___1_0" localSheetId="15">#REF!</definedName>
    <definedName name="SQRT__1___0_6___1_0" localSheetId="10">#REF!</definedName>
    <definedName name="SQRT__1___0_6___1_0">#REF!</definedName>
    <definedName name="SQRT__1___0_6___1_0___0" localSheetId="16">#REF!</definedName>
    <definedName name="SQRT__1___0_6___1_0___0" localSheetId="12">#REF!</definedName>
    <definedName name="SQRT__1___0_6___1_0___0">#REF!</definedName>
    <definedName name="SQRT__1___0_6___1_0___13" localSheetId="12">#REF!</definedName>
    <definedName name="SQRT__1___0_6___1_0___13">#REF!</definedName>
    <definedName name="Sqsilicon2">#REF!</definedName>
    <definedName name="Sqslab2">#REF!</definedName>
    <definedName name="Sqstair2">#REF!</definedName>
    <definedName name="Sqterfl2">#REF!</definedName>
    <definedName name="Sqterst2">#REF!</definedName>
    <definedName name="sqw">#REF!</definedName>
    <definedName name="Sqwall102">#REF!</definedName>
    <definedName name="Sqwall2">#REF!</definedName>
    <definedName name="Sqwall202">#REF!</definedName>
    <definedName name="Sqwearther2">#REF!</definedName>
    <definedName name="Sqweather2">#REF!</definedName>
    <definedName name="Sqwind2">#REF!</definedName>
    <definedName name="Sratt">#REF!</definedName>
    <definedName name="SRC">#REF!</definedName>
    <definedName name="srt">#REF!</definedName>
    <definedName name="SrvcCode1">#REF!</definedName>
    <definedName name="SrvcCode1_Text">#REF!</definedName>
    <definedName name="SrvcCode2">#REF!</definedName>
    <definedName name="SrvcCode2_Text">#REF!</definedName>
    <definedName name="SrvcCode3">#REF!</definedName>
    <definedName name="SrvcCode3_Text">#REF!</definedName>
    <definedName name="SrvcCode4">#REF!</definedName>
    <definedName name="SrvcCode4_Text">#REF!</definedName>
    <definedName name="SrvcCode5">#REF!</definedName>
    <definedName name="SrvcCode5_Text">#REF!</definedName>
    <definedName name="srvf" localSheetId="4">#REF!</definedName>
    <definedName name="srvf">#REF!</definedName>
    <definedName name="srvf_1">#REF!</definedName>
    <definedName name="srvf_16">#REF!</definedName>
    <definedName name="srvf_16_1">#REF!</definedName>
    <definedName name="srvf_17">#REF!</definedName>
    <definedName name="srvf_17_1">#REF!</definedName>
    <definedName name="srvf_18">#REF!</definedName>
    <definedName name="srvf_18_1">#REF!</definedName>
    <definedName name="srvf_19">#REF!</definedName>
    <definedName name="srvf_19_1">#REF!</definedName>
    <definedName name="srvf_4">#REF!</definedName>
    <definedName name="srvf_4_1">#REF!</definedName>
    <definedName name="srvf_5">#REF!</definedName>
    <definedName name="srvf_5_1">#REF!</definedName>
    <definedName name="srvf_6">#REF!</definedName>
    <definedName name="srvf_6_1">#REF!</definedName>
    <definedName name="srvf_7">#REF!</definedName>
    <definedName name="srvf_7_1">#REF!</definedName>
    <definedName name="srvf_8">#REF!</definedName>
    <definedName name="srvf_8_1">#REF!</definedName>
    <definedName name="srvf_9">#REF!</definedName>
    <definedName name="srvf_9_1">#REF!</definedName>
    <definedName name="srw">#REF!</definedName>
    <definedName name="SS">#REF!</definedName>
    <definedName name="SS_1">#REF!</definedName>
    <definedName name="ssafsdg">[67]Voucher!$R$1</definedName>
    <definedName name="ssd" localSheetId="16">#REF!</definedName>
    <definedName name="ssd" localSheetId="11">#REF!</definedName>
    <definedName name="ssd" localSheetId="12">#REF!</definedName>
    <definedName name="ssd" localSheetId="13">#REF!</definedName>
    <definedName name="ssd" localSheetId="14">#REF!</definedName>
    <definedName name="ssd" localSheetId="15">#REF!</definedName>
    <definedName name="ssd" localSheetId="10">#REF!</definedName>
    <definedName name="ssd" localSheetId="4">#REF!</definedName>
    <definedName name="ssd" localSheetId="2">#REF!</definedName>
    <definedName name="ssd">#REF!</definedName>
    <definedName name="ssd_1" localSheetId="16">#REF!</definedName>
    <definedName name="ssd_1">#REF!</definedName>
    <definedName name="ssd_16" localSheetId="16">#REF!</definedName>
    <definedName name="ssd_16">#REF!</definedName>
    <definedName name="ssd_16_1">#REF!</definedName>
    <definedName name="ssd_17">#REF!</definedName>
    <definedName name="ssd_17_1">#REF!</definedName>
    <definedName name="ssd_18">#REF!</definedName>
    <definedName name="ssd_18_1">#REF!</definedName>
    <definedName name="ssd_19">#REF!</definedName>
    <definedName name="ssd_19_1">#REF!</definedName>
    <definedName name="ssd_4">#REF!</definedName>
    <definedName name="ssd_4_1">#REF!</definedName>
    <definedName name="ssd_5">#REF!</definedName>
    <definedName name="ssd_5_1">#REF!</definedName>
    <definedName name="ssd_6">#REF!</definedName>
    <definedName name="ssd_6_1">#REF!</definedName>
    <definedName name="ssd_7">#REF!</definedName>
    <definedName name="ssd_7_1">#REF!</definedName>
    <definedName name="ssd_8">#REF!</definedName>
    <definedName name="ssd_8_1">#REF!</definedName>
    <definedName name="ssd_9">#REF!</definedName>
    <definedName name="ssd_9_1">#REF!</definedName>
    <definedName name="ssdd">#N/A</definedName>
    <definedName name="Ssec1" localSheetId="16">#REF!</definedName>
    <definedName name="Ssec1">#REF!</definedName>
    <definedName name="ssec12" localSheetId="16">#REF!</definedName>
    <definedName name="ssec12">#REF!</definedName>
    <definedName name="SSEC13" localSheetId="16">#REF!</definedName>
    <definedName name="SSEC13">#REF!</definedName>
    <definedName name="Ssec2">#REF!</definedName>
    <definedName name="ssec22">#REF!</definedName>
    <definedName name="SSEC23">#REF!</definedName>
    <definedName name="Ssec3">#REF!</definedName>
    <definedName name="ssec34">#REF!</definedName>
    <definedName name="SSEC35">#REF!</definedName>
    <definedName name="Ssec4">#REF!</definedName>
    <definedName name="SSEC43">#REF!</definedName>
    <definedName name="ssec45">#REF!</definedName>
    <definedName name="Ssec5">#REF!</definedName>
    <definedName name="SSEC54">#REF!</definedName>
    <definedName name="ssec55">#REF!</definedName>
    <definedName name="Ssec6">#REF!</definedName>
    <definedName name="SSEC65">#REF!</definedName>
    <definedName name="ssec66">#REF!</definedName>
    <definedName name="ssf" localSheetId="4">#REF!</definedName>
    <definedName name="ssf">#REF!</definedName>
    <definedName name="ssf_1">#REF!</definedName>
    <definedName name="ssf_16">#REF!</definedName>
    <definedName name="ssf_16_1">#REF!</definedName>
    <definedName name="ssf_17">#REF!</definedName>
    <definedName name="ssf_17_1">#REF!</definedName>
    <definedName name="ssf_18">#REF!</definedName>
    <definedName name="ssf_18_1">#REF!</definedName>
    <definedName name="ssf_19">#REF!</definedName>
    <definedName name="ssf_19_1">#REF!</definedName>
    <definedName name="ssf_4">#REF!</definedName>
    <definedName name="ssf_4_1">#REF!</definedName>
    <definedName name="ssf_5">#REF!</definedName>
    <definedName name="ssf_5_1">#REF!</definedName>
    <definedName name="ssf_6">#REF!</definedName>
    <definedName name="ssf_6_1">#REF!</definedName>
    <definedName name="ssf_7">#REF!</definedName>
    <definedName name="ssf_7_1">#REF!</definedName>
    <definedName name="ssf_8">#REF!</definedName>
    <definedName name="ssf_8_1">#REF!</definedName>
    <definedName name="ssf_9">#REF!</definedName>
    <definedName name="ssf_9_1">#REF!</definedName>
    <definedName name="ssfdd">#REF!</definedName>
    <definedName name="Ssm">'[101]LOCAL RATES'!$H$38</definedName>
    <definedName name="SSp" localSheetId="16">#REF!</definedName>
    <definedName name="SSp" localSheetId="2">#REF!</definedName>
    <definedName name="SSp">#REF!</definedName>
    <definedName name="SSS" localSheetId="16">'[8]col-reinft1'!#REF!</definedName>
    <definedName name="SSS" localSheetId="2">#REF!</definedName>
    <definedName name="SSS">#REF!</definedName>
    <definedName name="ssss" localSheetId="16">'[9]col-reinft1'!#REF!</definedName>
    <definedName name="ssss" localSheetId="2">#REF!</definedName>
    <definedName name="ssss">#REF!</definedName>
    <definedName name="sssss" localSheetId="16">#REF!</definedName>
    <definedName name="sssss">#REF!</definedName>
    <definedName name="sstuds12001300" localSheetId="16">#REF!</definedName>
    <definedName name="sstuds12001300">#REF!</definedName>
    <definedName name="sstype3drop" localSheetId="16">#REF!</definedName>
    <definedName name="sstype3drop">#REF!</definedName>
    <definedName name="SSTYPE3DROP1">#REF!</definedName>
    <definedName name="sstype3drop2">#REF!</definedName>
    <definedName name="SSTYPE3DROP3">#REF!</definedName>
    <definedName name="sstype3drop33">#REF!</definedName>
    <definedName name="SSTYPE3DROP35">#REF!</definedName>
    <definedName name="sstype3dropp">#REF!</definedName>
    <definedName name="SSTYPE3DROPP1">#REF!</definedName>
    <definedName name="sstype3slab">#REF!</definedName>
    <definedName name="SSTYPE3SLAB121">#REF!</definedName>
    <definedName name="sstype3slab2">#REF!</definedName>
    <definedName name="SSTYPE3SLAB3">#REF!</definedName>
    <definedName name="SSTYPE3SLAB32">#REF!</definedName>
    <definedName name="sstype3slab6">#REF!</definedName>
    <definedName name="sstype3slabb">#REF!</definedName>
    <definedName name="SSTYPESLAB1">#REF!</definedName>
    <definedName name="ssw">#REF!</definedName>
    <definedName name="st" localSheetId="16">#REF!</definedName>
    <definedName name="st" localSheetId="4" hidden="1">#REF!</definedName>
    <definedName name="st" localSheetId="0" hidden="1">#REF!</definedName>
    <definedName name="st">#REF!</definedName>
    <definedName name="st.sec">#REF!</definedName>
    <definedName name="st_100">#REF!</definedName>
    <definedName name="st_150">#REF!</definedName>
    <definedName name="st_200">#REF!</definedName>
    <definedName name="st_25">#REF!</definedName>
    <definedName name="st_250">#REF!</definedName>
    <definedName name="st_300">#REF!</definedName>
    <definedName name="st_32">#REF!</definedName>
    <definedName name="st_40">#REF!</definedName>
    <definedName name="st_400">#REF!</definedName>
    <definedName name="st_50">#REF!</definedName>
    <definedName name="st_500">#REF!</definedName>
    <definedName name="st_65">#REF!</definedName>
    <definedName name="st_80">#REF!</definedName>
    <definedName name="Staff_name">#REF!</definedName>
    <definedName name="STAFF_REQUIRED_FOR_FINAL_BILL">#REF!</definedName>
    <definedName name="staff1">#REF!</definedName>
    <definedName name="staff2">#REF!</definedName>
    <definedName name="Stage">#REF!</definedName>
    <definedName name="Stagging" localSheetId="16">[101]Boq!#REF!</definedName>
    <definedName name="Stagging">[101]Boq!#REF!</definedName>
    <definedName name="Staircase" localSheetId="16">#REF!</definedName>
    <definedName name="Staircase" localSheetId="11">#REF!</definedName>
    <definedName name="Staircase" localSheetId="12">#REF!</definedName>
    <definedName name="Staircase" localSheetId="13">#REF!</definedName>
    <definedName name="Staircase" localSheetId="14">#REF!</definedName>
    <definedName name="Staircase" localSheetId="15">#REF!</definedName>
    <definedName name="Staircase" localSheetId="10">#REF!</definedName>
    <definedName name="Staircase" localSheetId="2">#REF!</definedName>
    <definedName name="Staircase">#REF!</definedName>
    <definedName name="Staircase2" localSheetId="16">#REF!</definedName>
    <definedName name="Staircase2">#REF!</definedName>
    <definedName name="STALU" localSheetId="16">#REF!</definedName>
    <definedName name="STALU">#REF!</definedName>
    <definedName name="standrad" localSheetId="16">'[21]p&amp;m'!#REF!</definedName>
    <definedName name="standrad">'[21]p&amp;m'!#REF!</definedName>
    <definedName name="Start">#REF!</definedName>
    <definedName name="Start_1" localSheetId="16">#REF!</definedName>
    <definedName name="Start_1">#REF!</definedName>
    <definedName name="Start_10" localSheetId="16">#REF!</definedName>
    <definedName name="Start_10">#REF!</definedName>
    <definedName name="Start_11" localSheetId="16">#REF!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_Date">#REF!</definedName>
    <definedName name="Start_Risks">#REF!</definedName>
    <definedName name="StartDate">#REF!</definedName>
    <definedName name="StartHints">#REF!</definedName>
    <definedName name="State">#REF!</definedName>
    <definedName name="Stbik">#REF!</definedName>
    <definedName name="Stcan">#REF!</definedName>
    <definedName name="Stcar">#REF!</definedName>
    <definedName name="STCEIL">#REF!</definedName>
    <definedName name="STCONC">#REF!</definedName>
    <definedName name="Stcoo">#REF!</definedName>
    <definedName name="Stdor">#REF!</definedName>
    <definedName name="Stdra">#REF!</definedName>
    <definedName name="steel">#REF!</definedName>
    <definedName name="STEXCA">#REF!</definedName>
    <definedName name="Stfen">#REF!</definedName>
    <definedName name="Stfla">#REF!</definedName>
    <definedName name="Stgat">#REF!</definedName>
    <definedName name="Stgen">#REF!</definedName>
    <definedName name="Stgua">#REF!</definedName>
    <definedName name="STHARD">#REF!</definedName>
    <definedName name="Stlev">#REF!</definedName>
    <definedName name="Stlpg">#REF!</definedName>
    <definedName name="STMASON">#REF!</definedName>
    <definedName name="STMETAL">#REF!</definedName>
    <definedName name="Stmol">#REF!</definedName>
    <definedName name="Stoff">#REF!</definedName>
    <definedName name="stopline">#REF!</definedName>
    <definedName name="Storage">#REF!</definedName>
    <definedName name="STORAGES">#REF!</definedName>
    <definedName name="storehouse">#REF!</definedName>
    <definedName name="storeoffice">#REF!</definedName>
    <definedName name="STP">#REF!</definedName>
    <definedName name="STPAINT">#REF!</definedName>
    <definedName name="Stpav">#REF!</definedName>
    <definedName name="STPAVE">#REF!</definedName>
    <definedName name="Stpile">#REF!</definedName>
    <definedName name="STPLAST">#REF!</definedName>
    <definedName name="STPR">#REF!</definedName>
    <definedName name="STPROOF">#REF!</definedName>
    <definedName name="streetlight">#REF!</definedName>
    <definedName name="StrID">#REF!</definedName>
    <definedName name="StrID_13">"$#REF!.$H$#REF!"</definedName>
    <definedName name="StrID_9">"'file:///E:/Perlos/Revised%20Tender/Perlos%20R1%20With%20VAT%20Nil%20ED%20&amp;%20ST.xls'#$''.$H$4"</definedName>
    <definedName name="strses">#REF!</definedName>
    <definedName name="STRUCTURAL">#REF!</definedName>
    <definedName name="structure" localSheetId="16">#REF!</definedName>
    <definedName name="structure">#REF!</definedName>
    <definedName name="structure_10">#REF!</definedName>
    <definedName name="structure_11">#REF!</definedName>
    <definedName name="structure_7">#REF!</definedName>
    <definedName name="structure_8">#REF!</definedName>
    <definedName name="strutt">#REF!</definedName>
    <definedName name="struttfix">#REF!</definedName>
    <definedName name="struttresidual">#REF!</definedName>
    <definedName name="stt">#REF!</definedName>
    <definedName name="Sttak">#REF!</definedName>
    <definedName name="Sttoi">#REF!</definedName>
    <definedName name="Sttow">#REF!</definedName>
    <definedName name="Sttre">#REF!</definedName>
    <definedName name="Sttru">#REF!</definedName>
    <definedName name="Stucco" localSheetId="4">#REF!</definedName>
    <definedName name="Stucco">#REF!</definedName>
    <definedName name="Stwar">#REF!</definedName>
    <definedName name="Stwas">#REF!</definedName>
    <definedName name="Stwor">#REF!</definedName>
    <definedName name="stype2drop">#REF!</definedName>
    <definedName name="STYPE2DROP1">#REF!</definedName>
    <definedName name="stype2drop11">#REF!</definedName>
    <definedName name="stype2drop2">#REF!</definedName>
    <definedName name="STYPE2DROP23">#REF!</definedName>
    <definedName name="STYPE2DROP3">#REF!</definedName>
    <definedName name="STYPE2DROP4">#REF!</definedName>
    <definedName name="stype2drop6">#REF!</definedName>
    <definedName name="stype2slab">#REF!</definedName>
    <definedName name="STYPE2SLAB1">#REF!</definedName>
    <definedName name="STYPE2SLAB12">#REF!</definedName>
    <definedName name="STYPE2SLAB2">#REF!</definedName>
    <definedName name="stype2slab22">#REF!</definedName>
    <definedName name="STYPE2SLAB23">#REF!</definedName>
    <definedName name="stype2slab3">#REF!</definedName>
    <definedName name="stype2slab6">#REF!</definedName>
    <definedName name="stype3drop">#REF!</definedName>
    <definedName name="STYPE3DROP2">#REF!</definedName>
    <definedName name="STYPE3DROP21">#REF!</definedName>
    <definedName name="STYPE3DROP23">#REF!</definedName>
    <definedName name="stype3drop3">#REF!</definedName>
    <definedName name="stype3drop33">#REF!</definedName>
    <definedName name="STYPE3DROP4">#REF!</definedName>
    <definedName name="stype3drop6">#REF!</definedName>
    <definedName name="stype3slab">#REF!</definedName>
    <definedName name="STYPE3SLAB1">#REF!</definedName>
    <definedName name="STYPE3SLAB12">#REF!</definedName>
    <definedName name="STYPE3SLAB13">#REF!</definedName>
    <definedName name="stype3slab22">#REF!</definedName>
    <definedName name="STYPE3SLAB23">#REF!</definedName>
    <definedName name="stype3slab3">#REF!</definedName>
    <definedName name="stype3slab6">#REF!</definedName>
    <definedName name="Su">#REF!</definedName>
    <definedName name="sub1_1">#REF!</definedName>
    <definedName name="sub1_10">#REF!</definedName>
    <definedName name="sub1_10j">#REF!</definedName>
    <definedName name="sub1_11">#REF!</definedName>
    <definedName name="sub1_11j">#REF!</definedName>
    <definedName name="sub1_1j">#REF!</definedName>
    <definedName name="sub1_2">#REF!</definedName>
    <definedName name="sub1_2j">#REF!</definedName>
    <definedName name="sub1_3">#REF!</definedName>
    <definedName name="sub1_3j">#REF!</definedName>
    <definedName name="sub1_4">#REF!</definedName>
    <definedName name="sub1_4j">#REF!</definedName>
    <definedName name="sub1_5">#REF!</definedName>
    <definedName name="sub1_5j">#REF!</definedName>
    <definedName name="sub1_6">#REF!</definedName>
    <definedName name="sub1_6j">#REF!</definedName>
    <definedName name="sub1_7">#REF!</definedName>
    <definedName name="sub1_7j">#REF!</definedName>
    <definedName name="sub1_8">#REF!</definedName>
    <definedName name="sub1_8j">#REF!</definedName>
    <definedName name="sub1_9">#REF!</definedName>
    <definedName name="sub1_9j">#REF!</definedName>
    <definedName name="sub2_1j">#REF!</definedName>
    <definedName name="sub2_3">'[102]2.3 排水処理設備棟'!$F$43</definedName>
    <definedName name="sub2_4">'[102]2.4 倉庫棟'!$F$44</definedName>
    <definedName name="sub2_5">'[102]2.5 守衛棟'!$G$49</definedName>
    <definedName name="sub5_1" localSheetId="16">#REF!</definedName>
    <definedName name="sub5_1" localSheetId="2">#REF!</definedName>
    <definedName name="sub5_1">#REF!</definedName>
    <definedName name="sub5_1j" localSheetId="16">#REF!</definedName>
    <definedName name="sub5_1j">#REF!</definedName>
    <definedName name="Subbase" localSheetId="16">#REF!</definedName>
    <definedName name="Subbase">#REF!</definedName>
    <definedName name="SubDiv">#REF!</definedName>
    <definedName name="subh">#REF!</definedName>
    <definedName name="subjec">#REF!</definedName>
    <definedName name="Subject">#REF!</definedName>
    <definedName name="Subject_13">"$#REF!.$D$#REF!"</definedName>
    <definedName name="Subject_9">"'file:///E:/Perlos/Revised%20Tender/Perlos%20R1%20With%20VAT%20Nil%20ED%20&amp;%20ST.xls'#$''.$D$3"</definedName>
    <definedName name="SubName">#REF!</definedName>
    <definedName name="substructure">#REF!</definedName>
    <definedName name="Subtotal">#REF!</definedName>
    <definedName name="sujin">#REF!</definedName>
    <definedName name="SumCur">#REF!</definedName>
    <definedName name="Sume">#N/A</definedName>
    <definedName name="SumEuro">#REF!</definedName>
    <definedName name="SUMMAINT" localSheetId="16">#REF!</definedName>
    <definedName name="SUMMAINT" localSheetId="11">#REF!</definedName>
    <definedName name="SUMMAINT" localSheetId="12">#REF!</definedName>
    <definedName name="SUMMAINT" localSheetId="13">#REF!</definedName>
    <definedName name="SUMMAINT" localSheetId="14">#REF!</definedName>
    <definedName name="SUMMAINT" localSheetId="15">#REF!</definedName>
    <definedName name="SUMMAINT" localSheetId="10">#REF!</definedName>
    <definedName name="SUMMAINT" localSheetId="2">#REF!</definedName>
    <definedName name="SUMMAINT">#REF!</definedName>
    <definedName name="Summary" localSheetId="16">#REF!</definedName>
    <definedName name="Summary">#REF!</definedName>
    <definedName name="SUMMARY1" localSheetId="16">#REF!</definedName>
    <definedName name="SUMMARY1">#REF!</definedName>
    <definedName name="summary2">#REF!</definedName>
    <definedName name="sump">#REF!</definedName>
    <definedName name="SUMPROD">#REF!</definedName>
    <definedName name="SUMSERV">#REF!</definedName>
    <definedName name="SUMTOTAL">#REF!</definedName>
    <definedName name="sunil">#REF!</definedName>
    <definedName name="superstructure">#REF!</definedName>
    <definedName name="sur">#REF!</definedName>
    <definedName name="SURAT">#REF!</definedName>
    <definedName name="surfacedrain">#REF!</definedName>
    <definedName name="SURYA">#REF!</definedName>
    <definedName name="svd">#REF!</definedName>
    <definedName name="svlpl">#REF!</definedName>
    <definedName name="svlwl">#REF!</definedName>
    <definedName name="SW_COMP" localSheetId="16">IF(How_many_floors&gt;0,1,0)</definedName>
    <definedName name="SW_COMP" localSheetId="2">IF(How_many_floors&gt;0,1,0)</definedName>
    <definedName name="SW_COMP">IF(How_many_floors&gt;0,1,0)</definedName>
    <definedName name="SW_COMP_1" localSheetId="16">IF(How_many_floors&gt;0,1,0)</definedName>
    <definedName name="SW_COMP_1" localSheetId="2">IF(How_many_floors&gt;0,1,0)</definedName>
    <definedName name="SW_COMP_1">IF(How_many_floors&gt;0,1,0)</definedName>
    <definedName name="SW_COMP_2" localSheetId="16">IF(How_many_floors&gt;0,1,0)</definedName>
    <definedName name="SW_COMP_2" localSheetId="2">IF(How_many_floors&gt;0,1,0)</definedName>
    <definedName name="SW_COMP_2">IF(How_many_floors&gt;0,1,0)</definedName>
    <definedName name="SWALL" localSheetId="16">#REF!</definedName>
    <definedName name="SWALL" localSheetId="2">#REF!</definedName>
    <definedName name="SWALL">#REF!</definedName>
    <definedName name="swd_Adl_dis" localSheetId="2">#REF!</definedName>
    <definedName name="swd_Adl_dis">#REF!</definedName>
    <definedName name="swd_cd">#REF!</definedName>
    <definedName name="swd_er">#REF!</definedName>
    <definedName name="swd_fi">#REF!</definedName>
    <definedName name="swf" localSheetId="16">#REF!</definedName>
    <definedName name="swf" localSheetId="4">#REF!</definedName>
    <definedName name="swf">#REF!</definedName>
    <definedName name="swf_1" localSheetId="16">#REF!</definedName>
    <definedName name="swf_1">#REF!</definedName>
    <definedName name="swf_16">#REF!</definedName>
    <definedName name="swf_16_1">#REF!</definedName>
    <definedName name="swf_17">#REF!</definedName>
    <definedName name="swf_17_1">#REF!</definedName>
    <definedName name="swf_18">#REF!</definedName>
    <definedName name="swf_18_1">#REF!</definedName>
    <definedName name="swf_19">#REF!</definedName>
    <definedName name="swf_19_1">#REF!</definedName>
    <definedName name="swf_4">#REF!</definedName>
    <definedName name="swf_4_1">#REF!</definedName>
    <definedName name="swf_5">#REF!</definedName>
    <definedName name="swf_5_1">#REF!</definedName>
    <definedName name="swf_6">#REF!</definedName>
    <definedName name="swf_6_1">#REF!</definedName>
    <definedName name="swf_7">#REF!</definedName>
    <definedName name="swf_7_1">#REF!</definedName>
    <definedName name="swf_8">#REF!</definedName>
    <definedName name="swf_8_1">#REF!</definedName>
    <definedName name="swf_9">#REF!</definedName>
    <definedName name="swf_9_1">#REF!</definedName>
    <definedName name="SWG">#REF!</definedName>
    <definedName name="SWIM">#REF!</definedName>
    <definedName name="SYS">#REF!</definedName>
    <definedName name="SysName">#REF!</definedName>
    <definedName name="SystemName">#REF!</definedName>
    <definedName name="t">#REF!</definedName>
    <definedName name="t___0">#REF!</definedName>
    <definedName name="t___13">#REF!</definedName>
    <definedName name="T_Basic_cost">#REF!</definedName>
    <definedName name="T0">#REF!</definedName>
    <definedName name="ta">#REF!</definedName>
    <definedName name="tab">#REF!</definedName>
    <definedName name="Table">#REF!</definedName>
    <definedName name="Table_13">#REF!</definedName>
    <definedName name="Table_9">"'file:///E:/Perlos/Revised%20Tender/Perlos%20R1%20With%20VAT%20Nil%20ED%20&amp;%20ST.xls'#$''.$A$2:$D$47"</definedName>
    <definedName name="table1" localSheetId="16">#REF!</definedName>
    <definedName name="table1" localSheetId="11">#REF!</definedName>
    <definedName name="table1" localSheetId="12">#REF!</definedName>
    <definedName name="table1" localSheetId="13">#REF!</definedName>
    <definedName name="table1" localSheetId="14">#REF!</definedName>
    <definedName name="table1" localSheetId="15">#REF!</definedName>
    <definedName name="table1" localSheetId="10">#REF!</definedName>
    <definedName name="table1" localSheetId="2">#REF!</definedName>
    <definedName name="table1">#REF!</definedName>
    <definedName name="TABLE2" localSheetId="16">#REF!</definedName>
    <definedName name="TABLE2">#REF!</definedName>
    <definedName name="TABLE2_13" localSheetId="16">#REF!</definedName>
    <definedName name="TABLE2_13">#REF!</definedName>
    <definedName name="TABLE2_9">"'file:///E:/Perlos/Revised%20Tender/Perlos%20R1%20With%20VAT%20Nil%20ED%20&amp;%20ST.xls'#$''.$B$4:$C$76"</definedName>
    <definedName name="TableRange" localSheetId="16">#REF!</definedName>
    <definedName name="TableRange" localSheetId="11">#REF!</definedName>
    <definedName name="TableRange" localSheetId="12">#REF!</definedName>
    <definedName name="TableRange" localSheetId="13">#REF!</definedName>
    <definedName name="TableRange" localSheetId="14">#REF!</definedName>
    <definedName name="TableRange" localSheetId="15">#REF!</definedName>
    <definedName name="TableRange" localSheetId="10">#REF!</definedName>
    <definedName name="TableRange" localSheetId="2">#REF!</definedName>
    <definedName name="TableRange">#REF!</definedName>
    <definedName name="TableRange_13" localSheetId="16">#REF!</definedName>
    <definedName name="TableRange_13">#REF!</definedName>
    <definedName name="TableRange_9">"'file:///E:/Perlos/Revised%20Tender/Perlos%20R1%20With%20VAT%20Nil%20ED%20&amp;%20ST.xls'#$''.$A$3:$N$62"</definedName>
    <definedName name="TackCoat">#REF!</definedName>
    <definedName name="Tak">#REF!</definedName>
    <definedName name="tamgrout">#REF!</definedName>
    <definedName name="TAMT">#REF!</definedName>
    <definedName name="TaxTV">10%</definedName>
    <definedName name="TaxXL">5%</definedName>
    <definedName name="TBC" localSheetId="16">#REF!</definedName>
    <definedName name="TBC" localSheetId="11">#REF!</definedName>
    <definedName name="TBC" localSheetId="12">#REF!</definedName>
    <definedName name="TBC" localSheetId="13">#REF!</definedName>
    <definedName name="TBC" localSheetId="14">#REF!</definedName>
    <definedName name="TBC" localSheetId="15">#REF!</definedName>
    <definedName name="TBC" localSheetId="10">#REF!</definedName>
    <definedName name="TBC" localSheetId="2">#REF!</definedName>
    <definedName name="TBC">#REF!</definedName>
    <definedName name="Tbik" localSheetId="2">#REF!</definedName>
    <definedName name="Tbik">#REF!</definedName>
    <definedName name="tbl_ProdInfo" hidden="1">#REF!</definedName>
    <definedName name="TCAL">#REF!</definedName>
    <definedName name="Tcan">#REF!</definedName>
    <definedName name="Tcar">#REF!</definedName>
    <definedName name="TCH">#REF!</definedName>
    <definedName name="TCN">#REF!</definedName>
    <definedName name="tcy" localSheetId="4">#REF!</definedName>
    <definedName name="tcy" localSheetId="0">#REF!</definedName>
    <definedName name="td">#REF!</definedName>
    <definedName name="Tdor">#REF!</definedName>
    <definedName name="Tdra">#REF!</definedName>
    <definedName name="TDT">#REF!</definedName>
    <definedName name="te">#REF!</definedName>
    <definedName name="TECHI">#REF!</definedName>
    <definedName name="tee">#REF!</definedName>
    <definedName name="TEI">#REF!</definedName>
    <definedName name="TEISHUTSU_GAKU_2">#REF!</definedName>
    <definedName name="TEISHUTSU_MOTO">#REF!</definedName>
    <definedName name="TEISHUTSU_MOTO_JUSHO">#REF!</definedName>
    <definedName name="TEISHUTSU_MOTO_NM">#REF!</definedName>
    <definedName name="TEISHUTSU_MOTO_TEL">#REF!</definedName>
    <definedName name="tek">#REF!</definedName>
    <definedName name="tekII">#REF!</definedName>
    <definedName name="tektower">#REF!</definedName>
    <definedName name="tel">#REF!</definedName>
    <definedName name="TELEVISION">#REF!</definedName>
    <definedName name="TELP">#REF!</definedName>
    <definedName name="tem" localSheetId="16" hidden="1">{#N/A,#N/A,TRUE,"Front";#N/A,#N/A,TRUE,"Simple Letter";#N/A,#N/A,TRUE,"Inside";#N/A,#N/A,TRUE,"Contents";#N/A,#N/A,TRUE,"Basis";#N/A,#N/A,TRUE,"Inclusions";#N/A,#N/A,TRUE,"Exclusions";#N/A,#N/A,TRUE,"Areas";#N/A,#N/A,TRUE,"Summary";#N/A,#N/A,TRUE,"Detail"}</definedName>
    <definedName name="tem">#REF!</definedName>
    <definedName name="TEMP" localSheetId="16">#REF!</definedName>
    <definedName name="TEMP" localSheetId="11">#REF!</definedName>
    <definedName name="TEMP" localSheetId="12">#REF!</definedName>
    <definedName name="TEMP" localSheetId="13">#REF!</definedName>
    <definedName name="TEMP" localSheetId="14">#REF!</definedName>
    <definedName name="TEMP" localSheetId="15">#REF!</definedName>
    <definedName name="TEMP" localSheetId="10">#REF!</definedName>
    <definedName name="TEMP" localSheetId="2">#REF!</definedName>
    <definedName name="TEMP">#REF!</definedName>
    <definedName name="temp1" localSheetId="16">#REF!</definedName>
    <definedName name="temp1">#REF!</definedName>
    <definedName name="temp11">[13]concrete!$E$113</definedName>
    <definedName name="TEMP12" localSheetId="16">'[18]beam-reinft-IIInd floor'!#REF!</definedName>
    <definedName name="TEMP12">#REF!</definedName>
    <definedName name="TEMP13">[18]concrete!$E$113</definedName>
    <definedName name="temp2">[13]concrete!$E$113</definedName>
    <definedName name="TEMP23" localSheetId="16">'[15]beam-reinft-machine rm'!#REF!</definedName>
    <definedName name="TEMP23">#REF!</definedName>
    <definedName name="temp6" localSheetId="16">'[60]beam-reinft-IIInd floor'!#REF!</definedName>
    <definedName name="temp6">#REF!</definedName>
    <definedName name="tempoffice" localSheetId="16">#REF!</definedName>
    <definedName name="tempoffice">#REF!</definedName>
    <definedName name="tempwall" localSheetId="16">#REF!</definedName>
    <definedName name="tempwall">#REF!</definedName>
    <definedName name="TENDER_EXPENCES" localSheetId="16">#REF!</definedName>
    <definedName name="TENDER_EXPENCES">#REF!</definedName>
    <definedName name="tender_expenses.">#REF!</definedName>
    <definedName name="TEs">#REF!</definedName>
    <definedName name="TEs___0">#REF!</definedName>
    <definedName name="TEs___13">#REF!</definedName>
    <definedName name="test">#REF!</definedName>
    <definedName name="TEST0">#REF!</definedName>
    <definedName name="TEST1">#REF!</definedName>
    <definedName name="TESTHKEY">#REF!</definedName>
    <definedName name="TESTKEYS">#REF!</definedName>
    <definedName name="TESTVKEY">#REF!</definedName>
    <definedName name="TEt">#REF!</definedName>
    <definedName name="TEt___0">#REF!</definedName>
    <definedName name="TEt___13">#REF!</definedName>
    <definedName name="text" localSheetId="16">#REF!,#REF!,#REF!,#REF!,#REF!</definedName>
    <definedName name="text">#REF!,#REF!,#REF!,#REF!,#REF!</definedName>
    <definedName name="TF" localSheetId="16">#REF!</definedName>
    <definedName name="TF" localSheetId="11">#REF!</definedName>
    <definedName name="TF" localSheetId="12">#REF!</definedName>
    <definedName name="TF" localSheetId="13">#REF!</definedName>
    <definedName name="TF" localSheetId="14">#REF!</definedName>
    <definedName name="TF" localSheetId="15">#REF!</definedName>
    <definedName name="TF" localSheetId="10">#REF!</definedName>
    <definedName name="TF" localSheetId="2">#REF!</definedName>
    <definedName name="TF">#REF!</definedName>
    <definedName name="tfa" localSheetId="16">#REF!</definedName>
    <definedName name="tfa">#REF!</definedName>
    <definedName name="Tfen" localSheetId="16">#REF!</definedName>
    <definedName name="Tfen">#REF!</definedName>
    <definedName name="Tfenn">#REF!</definedName>
    <definedName name="tff">#REF!</definedName>
    <definedName name="Tfil">#REF!</definedName>
    <definedName name="tfku">#REF!</definedName>
    <definedName name="Tgat">#REF!</definedName>
    <definedName name="Tgen">#REF!</definedName>
    <definedName name="tgg">#REF!</definedName>
    <definedName name="tgregt">#REF!</definedName>
    <definedName name="Tgua">#REF!</definedName>
    <definedName name="th">#REF!</definedName>
    <definedName name="thanhtien">#REF!</definedName>
    <definedName name="That">#REF!</definedName>
    <definedName name="THI">#REF!</definedName>
    <definedName name="TierCode">#REF!</definedName>
    <definedName name="TierCode_Text">#REF!</definedName>
    <definedName name="time">#REF!</definedName>
    <definedName name="TIME_OF_COMPLETION">#REF!</definedName>
    <definedName name="TIME_OF_FINAL_BILLING">#REF!</definedName>
    <definedName name="TITAN">#REF!</definedName>
    <definedName name="TITLE" localSheetId="16">#REF!</definedName>
    <definedName name="TITLE">#REF!</definedName>
    <definedName name="Title1">#REF!</definedName>
    <definedName name="Title1_13">#REF!</definedName>
    <definedName name="Title1_9">"'file:///E:/Perlos/Revised%20Tender/Perlos%20R1%20With%20VAT%20Nil%20ED%20&amp;%20ST.xls'#$''.$BR$70"</definedName>
    <definedName name="Title2" localSheetId="16">#REF!</definedName>
    <definedName name="Title2" localSheetId="11">#REF!</definedName>
    <definedName name="Title2" localSheetId="12">#REF!</definedName>
    <definedName name="Title2" localSheetId="13">#REF!</definedName>
    <definedName name="Title2" localSheetId="14">#REF!</definedName>
    <definedName name="Title2" localSheetId="15">#REF!</definedName>
    <definedName name="Title2" localSheetId="10">#REF!</definedName>
    <definedName name="Title2" localSheetId="2">#REF!</definedName>
    <definedName name="Title2">#REF!</definedName>
    <definedName name="Title2_13">"$#REF!.$D$#REF!"</definedName>
    <definedName name="Title2_9">"'file:///E:/Perlos/Revised%20Tender/Perlos%20R1%20With%20VAT%20Nil%20ED%20&amp;%20ST.xls'#$''.$BS$71"</definedName>
    <definedName name="TJMP">#REF!</definedName>
    <definedName name="Tk">#REF!</definedName>
    <definedName name="Tlab">#REF!</definedName>
    <definedName name="tlp">#REF!</definedName>
    <definedName name="Tmai">#REF!</definedName>
    <definedName name="TMBPLA">[34]Sheet1!#REF!</definedName>
    <definedName name="TMBSCA">[34]Sheet1!#REF!</definedName>
    <definedName name="TMC_55_140" localSheetId="16">#REF!</definedName>
    <definedName name="TMC_55_140">#REF!</definedName>
    <definedName name="TMFSW" localSheetId="16">#REF!</definedName>
    <definedName name="TMFSW">#REF!</definedName>
    <definedName name="Tmol" localSheetId="16">#REF!</definedName>
    <definedName name="Tmol">#REF!</definedName>
    <definedName name="Tnur">#REF!</definedName>
    <definedName name="Toff">#REF!</definedName>
    <definedName name="Toi">#REF!</definedName>
    <definedName name="tol">#REF!</definedName>
    <definedName name="tol_13">"$#REF!.$I$13"</definedName>
    <definedName name="tol_9">"'file:///E:/Perlos/Revised%20Tender/Perlos%20R1%20With%20VAT%20Nil%20ED%20&amp;%20ST.xls'#$''.$I$26"</definedName>
    <definedName name="Tole">#REF!</definedName>
    <definedName name="tool">#REF!</definedName>
    <definedName name="top">[22]Boq!#REF!</definedName>
    <definedName name="topc" localSheetId="16">'[28]GR.slab-reinft'!#REF!</definedName>
    <definedName name="topc">#REF!</definedName>
    <definedName name="topl" localSheetId="16">#REF!</definedName>
    <definedName name="topl" localSheetId="11">#REF!</definedName>
    <definedName name="topl" localSheetId="12">#REF!</definedName>
    <definedName name="topl" localSheetId="13">#REF!</definedName>
    <definedName name="topl" localSheetId="14">#REF!</definedName>
    <definedName name="topl" localSheetId="15">#REF!</definedName>
    <definedName name="topl" localSheetId="10">#REF!</definedName>
    <definedName name="topl" localSheetId="2">#REF!</definedName>
    <definedName name="topl">#REF!</definedName>
    <definedName name="topl_13">"$#REF!.$I$12"</definedName>
    <definedName name="topl_9">"'file:///E:/Perlos/Revised%20Tender/Perlos%20R1%20With%20VAT%20Nil%20ED%20&amp;%20ST.xls'#$''.$I$25"</definedName>
    <definedName name="topn" localSheetId="16">#REF!</definedName>
    <definedName name="topn" localSheetId="11">#REF!</definedName>
    <definedName name="topn" localSheetId="12">#REF!</definedName>
    <definedName name="topn" localSheetId="13">#REF!</definedName>
    <definedName name="topn" localSheetId="14">#REF!</definedName>
    <definedName name="topn" localSheetId="15">#REF!</definedName>
    <definedName name="topn" localSheetId="10">#REF!</definedName>
    <definedName name="topn" localSheetId="2">#REF!</definedName>
    <definedName name="topn">#REF!</definedName>
    <definedName name="topn_13">"$#REF!.$I$12"</definedName>
    <definedName name="topn_9">"'file:///E:/Perlos/Revised%20Tender/Perlos%20R1%20With%20VAT%20Nil%20ED%20&amp;%20ST.xls'#$''.$I$25"</definedName>
    <definedName name="Tot_Investmetn">#REF!</definedName>
    <definedName name="Total_Depn">#REF!</definedName>
    <definedName name="Total_EB">#REF!</definedName>
    <definedName name="Total_Interest">#REF!</definedName>
    <definedName name="TOTAL_NO._OF_CEMENT_BAGS">#REF!</definedName>
    <definedName name="TOTAL_OH">#REF!</definedName>
    <definedName name="Total_Pay">#REF!</definedName>
    <definedName name="Total_Payment" localSheetId="16">Scheduled_Payment+Extra_Payment</definedName>
    <definedName name="Total_Payment" localSheetId="11">Scheduled_Payment+Extra_Payment</definedName>
    <definedName name="Total_Payment" localSheetId="14">Scheduled_Payment+Extra_Payment</definedName>
    <definedName name="Total_Payment" localSheetId="15">Scheduled_Payment+Extra_Payment</definedName>
    <definedName name="Total_Payment" localSheetId="2">Scheduled_Payment+Extra_Payment</definedName>
    <definedName name="Total_Payment" localSheetId="9">Scheduled_Payment+Extra_Payment</definedName>
    <definedName name="Total_Payment">Scheduled_Payment+Extra_Payment</definedName>
    <definedName name="Total_Payment_2" localSheetId="16">Scheduled_Payment+Extra_Payment</definedName>
    <definedName name="Total_Payment_2" localSheetId="11">Scheduled_Payment+Extra_Payment</definedName>
    <definedName name="Total_Payment_2" localSheetId="14">Scheduled_Payment+Extra_Payment</definedName>
    <definedName name="Total_Payment_2" localSheetId="15">Scheduled_Payment+Extra_Payment</definedName>
    <definedName name="Total_Payment_2" localSheetId="2">Scheduled_Payment+Extra_Payment</definedName>
    <definedName name="Total_Payment_2" localSheetId="9">Scheduled_Payment+Extra_Payment</definedName>
    <definedName name="Total_Payment_2">Scheduled_Payment+Extra_Payment</definedName>
    <definedName name="TOTAL_PCC" localSheetId="16">#REF!</definedName>
    <definedName name="TOTAL_PCC" localSheetId="2">#REF!</definedName>
    <definedName name="TOTAL_PCC">#REF!</definedName>
    <definedName name="Total_Popular" localSheetId="2">#REF!</definedName>
    <definedName name="Total_Popular">#REF!</definedName>
    <definedName name="TOTAL_RCC" localSheetId="16">#REF!</definedName>
    <definedName name="TOTAL_RCC">#REF!</definedName>
    <definedName name="Total_Techno">#REF!</definedName>
    <definedName name="totalmc" localSheetId="16">#REF!</definedName>
    <definedName name="totalmc">#REF!</definedName>
    <definedName name="totalmc1">#REF!</definedName>
    <definedName name="TotalPrice">#REF!</definedName>
    <definedName name="totalqtyfinal">#REF!</definedName>
    <definedName name="Tow">#REF!</definedName>
    <definedName name="tp">#REF!</definedName>
    <definedName name="Tpac">#REF!</definedName>
    <definedName name="Tpav">#REF!</definedName>
    <definedName name="TPG">#REF!</definedName>
    <definedName name="tpile1300">#REF!</definedName>
    <definedName name="tpilebbore1000">#REF!</definedName>
    <definedName name="tpilebbore1100">#REF!</definedName>
    <definedName name="tpilebbore1200">#REF!</definedName>
    <definedName name="tpilebbore1300">#REF!</definedName>
    <definedName name="tpilebore1000">#REF!</definedName>
    <definedName name="tpilebore1100">#REF!</definedName>
    <definedName name="tpilebore1200">#REF!</definedName>
    <definedName name="tpilebore1300">#REF!</definedName>
    <definedName name="tpiledisposal">#REF!</definedName>
    <definedName name="tpilesandfill">#REF!</definedName>
    <definedName name="TPLRP">#REF!</definedName>
    <definedName name="Tpon">#REF!</definedName>
    <definedName name="tr">#REF!</definedName>
    <definedName name="tractor">#REF!</definedName>
    <definedName name="TRADE2">#REF!</definedName>
    <definedName name="trafficduct">#REF!</definedName>
    <definedName name="trafficlight">#REF!</definedName>
    <definedName name="TrafficSings">#REF!</definedName>
    <definedName name="TRAFO">#REF!</definedName>
    <definedName name="trans1.2">#REF!</definedName>
    <definedName name="trans1.5">#REF!</definedName>
    <definedName name="trans1.8">#REF!</definedName>
    <definedName name="trans2">#REF!</definedName>
    <definedName name="TRANSPORTATION_CHARGES">#REF!</definedName>
    <definedName name="transtree0.5">#REF!</definedName>
    <definedName name="transtree1">#REF!</definedName>
    <definedName name="transtree1.">#REF!</definedName>
    <definedName name="transtree1.0">#REF!</definedName>
    <definedName name="transtree1.2">#REF!</definedName>
    <definedName name="transtree1.5">#REF!</definedName>
    <definedName name="transtree1.8">#REF!</definedName>
    <definedName name="transtree2">#REF!</definedName>
    <definedName name="transtree2.0">#REF!</definedName>
    <definedName name="transtree2.5">#REF!</definedName>
    <definedName name="transtress2.5">#REF!</definedName>
    <definedName name="TRAY">#REF!</definedName>
    <definedName name="trcuter">#REF!</definedName>
    <definedName name="tre">#REF!</definedName>
    <definedName name="treecucab">#REF!</definedName>
    <definedName name="trftycab">#REF!</definedName>
    <definedName name="trftyter">#REF!</definedName>
    <definedName name="TRIX">#REF!</definedName>
    <definedName name="trsitecab">#REF!</definedName>
    <definedName name="trsiteter">#REF!</definedName>
    <definedName name="trsixcab">#REF!</definedName>
    <definedName name="trsixter">#REF!</definedName>
    <definedName name="trsree">#REF!</definedName>
    <definedName name="trtencab">#REF!</definedName>
    <definedName name="trtenter">#REF!</definedName>
    <definedName name="TRTR">#REF!</definedName>
    <definedName name="trtrfvcab">#REF!</definedName>
    <definedName name="trtrfvter">#REF!</definedName>
    <definedName name="trtwfvcab">#REF!</definedName>
    <definedName name="trtwfvter">#REF!</definedName>
    <definedName name="Tru">#REF!</definedName>
    <definedName name="tS">#REF!</definedName>
    <definedName name="tS___0">#REF!</definedName>
    <definedName name="tS___13">#REF!</definedName>
    <definedName name="tsc">#REF!</definedName>
    <definedName name="Tsea">#REF!</definedName>
    <definedName name="tsf">#REF!</definedName>
    <definedName name="tss">#REF!</definedName>
    <definedName name="tt">#REF!</definedName>
    <definedName name="Ttak">#REF!</definedName>
    <definedName name="TTDB">#REF!</definedName>
    <definedName name="TTLB1">#REF!</definedName>
    <definedName name="TTLB2">#REF!</definedName>
    <definedName name="TTLB3">#REF!</definedName>
    <definedName name="Ttoi">#REF!</definedName>
    <definedName name="Ttow">#REF!</definedName>
    <definedName name="ttpilebbore1300">#REF!</definedName>
    <definedName name="Ttru">#REF!</definedName>
    <definedName name="ttt">#REF!</definedName>
    <definedName name="tttt">#REF!</definedName>
    <definedName name="tu">#REF!</definedName>
    <definedName name="TUES1">#REF!</definedName>
    <definedName name="Turk">#REF!</definedName>
    <definedName name="TV">#REF!</definedName>
    <definedName name="TVV">#REF!</definedName>
    <definedName name="Twar">#REF!</definedName>
    <definedName name="Twas">#REF!</definedName>
    <definedName name="twfvxsixer">#REF!</definedName>
    <definedName name="twocucab">#REF!</definedName>
    <definedName name="Twor">#REF!</definedName>
    <definedName name="ty">#REF!</definedName>
    <definedName name="type">#REF!</definedName>
    <definedName name="Type1">#REF!</definedName>
    <definedName name="type11">#REF!</definedName>
    <definedName name="type12">#REF!</definedName>
    <definedName name="TYPE13">#REF!</definedName>
    <definedName name="type1drop">#REF!</definedName>
    <definedName name="type1drop11">#REF!</definedName>
    <definedName name="type1drop12">#REF!</definedName>
    <definedName name="type1drop2">#REF!</definedName>
    <definedName name="TYPE1DROP212">#REF!</definedName>
    <definedName name="TYPE1DROP23">#REF!</definedName>
    <definedName name="TYPE1DROP3">#REF!</definedName>
    <definedName name="type1slab">#REF!</definedName>
    <definedName name="type1slab11">#REF!</definedName>
    <definedName name="TYPE1SLAB12">#REF!</definedName>
    <definedName name="TYPE1SLAB13">#REF!</definedName>
    <definedName name="type1slab2">#REF!</definedName>
    <definedName name="TYPE1SLAB21">#REF!</definedName>
    <definedName name="type1slab6">#REF!</definedName>
    <definedName name="Type2">#REF!</definedName>
    <definedName name="type22">#REF!</definedName>
    <definedName name="TYPE23">#REF!</definedName>
    <definedName name="type2drop">#REF!</definedName>
    <definedName name="type2drop2">#REF!</definedName>
    <definedName name="type2drop22">#REF!</definedName>
    <definedName name="type2drop23">#REF!</definedName>
    <definedName name="TYPE2DROP24">#REF!</definedName>
    <definedName name="TYPE2DROP3">#REF!</definedName>
    <definedName name="TYPE2DROP32">#REF!</definedName>
    <definedName name="type2slab">#REF!</definedName>
    <definedName name="TYPE2SLAB12">#REF!</definedName>
    <definedName name="type2slab2">#REF!</definedName>
    <definedName name="TYPE2SLAB21">#REF!</definedName>
    <definedName name="type2slab22">#REF!</definedName>
    <definedName name="TYPE2SLAB24">#REF!</definedName>
    <definedName name="type2slab3">#REF!</definedName>
    <definedName name="Type3">#REF!</definedName>
    <definedName name="type3drop">#REF!</definedName>
    <definedName name="type3drop2">#REF!</definedName>
    <definedName name="type3drop22">#REF!</definedName>
    <definedName name="TYPE3DROP23">#REF!</definedName>
    <definedName name="TYPE3DROP43">#REF!</definedName>
    <definedName name="TYPE3DROP56">#REF!</definedName>
    <definedName name="type3drop6">#REF!</definedName>
    <definedName name="type3slab">#REF!</definedName>
    <definedName name="TYPE3SLAB12">#REF!</definedName>
    <definedName name="type3slab2">#REF!</definedName>
    <definedName name="TYPE3SLAB23">#REF!</definedName>
    <definedName name="type3slab3">#REF!</definedName>
    <definedName name="TYPE3SLAB32">#REF!</definedName>
    <definedName name="type3slab4">#REF!</definedName>
    <definedName name="type3slab6">#REF!</definedName>
    <definedName name="type4">#REF!</definedName>
    <definedName name="type44">#REF!</definedName>
    <definedName name="type45">#REF!</definedName>
    <definedName name="type46">#REF!</definedName>
    <definedName name="TYPE47">#REF!</definedName>
    <definedName name="TYPE48">#REF!</definedName>
    <definedName name="type4drop">#REF!</definedName>
    <definedName name="TYPE4DROP12">#REF!</definedName>
    <definedName name="type4drop2">#REF!</definedName>
    <definedName name="TYPE4DROP23">#REF!</definedName>
    <definedName name="type4drop4">#REF!</definedName>
    <definedName name="TYPE4DROP54">#REF!</definedName>
    <definedName name="type4drops">#REF!</definedName>
    <definedName name="type4slab">#REF!</definedName>
    <definedName name="TYPE4SLAB12">#REF!</definedName>
    <definedName name="type4slab22">#REF!</definedName>
    <definedName name="TYPE4SLAB23">#REF!</definedName>
    <definedName name="TYPE4SLAB32">#REF!</definedName>
    <definedName name="type4slab6">#REF!</definedName>
    <definedName name="type5">#REF!</definedName>
    <definedName name="type6">#REF!</definedName>
    <definedName name="TYPE64">#REF!</definedName>
    <definedName name="tyty">#REF!</definedName>
    <definedName name="TYUKO">#REF!</definedName>
    <definedName name="u" localSheetId="16">'[21]p&amp;m'!#REF!</definedName>
    <definedName name="u">#REF!</definedName>
    <definedName name="uc12001300" localSheetId="16">#REF!</definedName>
    <definedName name="uc12001300">#REF!</definedName>
    <definedName name="uc12001300install" localSheetId="16">#REF!</definedName>
    <definedName name="uc12001300install">#REF!</definedName>
    <definedName name="uc1200install" localSheetId="16">#REF!</definedName>
    <definedName name="uc1200install">#REF!</definedName>
    <definedName name="ucsalvage">#REF!</definedName>
    <definedName name="ug">[103]PS1!#REF!</definedName>
    <definedName name="uio">'[81]p&amp;m'!#REF!</definedName>
    <definedName name="uj" localSheetId="16">#REF!</definedName>
    <definedName name="uj">#REF!</definedName>
    <definedName name="ujn" localSheetId="16">#REF!</definedName>
    <definedName name="ujn">#REF!</definedName>
    <definedName name="UK" localSheetId="16">#REF!</definedName>
    <definedName name="UK">#REF!</definedName>
    <definedName name="UKK">#REF!</definedName>
    <definedName name="UMAN">#REF!</definedName>
    <definedName name="UNICOD">#REF!</definedName>
    <definedName name="unit">#REF!</definedName>
    <definedName name="Unit_ABB">#REF!</definedName>
    <definedName name="Unit_Siemens">#REF!</definedName>
    <definedName name="Unit_Techno">#REF!</definedName>
    <definedName name="unitdisc">#REF!</definedName>
    <definedName name="UNITS">#REF!</definedName>
    <definedName name="unsecured">#REF!</definedName>
    <definedName name="uom">#REF!</definedName>
    <definedName name="uop">[104]Design!#REF!</definedName>
    <definedName name="uouy" localSheetId="16">#REF!</definedName>
    <definedName name="uouy" localSheetId="2">#REF!</definedName>
    <definedName name="uouy">#REF!</definedName>
    <definedName name="Uph" localSheetId="16">#REF!</definedName>
    <definedName name="Uph">#REF!</definedName>
    <definedName name="Urbitum" localSheetId="16">#REF!</definedName>
    <definedName name="Urbitum">#REF!</definedName>
    <definedName name="us_cd">#REF!</definedName>
    <definedName name="us_er">#REF!</definedName>
    <definedName name="us_fi">#REF!</definedName>
    <definedName name="usd" localSheetId="4">#REF!</definedName>
    <definedName name="usd">#REF!</definedName>
    <definedName name="usd_1">#REF!</definedName>
    <definedName name="usd_16">#REF!</definedName>
    <definedName name="usd_16_1">#REF!</definedName>
    <definedName name="usd_17">#REF!</definedName>
    <definedName name="usd_17_1">#REF!</definedName>
    <definedName name="usd_18">#REF!</definedName>
    <definedName name="usd_18_1">#REF!</definedName>
    <definedName name="usd_19">#REF!</definedName>
    <definedName name="usd_19_1">#REF!</definedName>
    <definedName name="usd_4">#REF!</definedName>
    <definedName name="usd_4_1">#REF!</definedName>
    <definedName name="usd_5">#REF!</definedName>
    <definedName name="usd_5_1">#REF!</definedName>
    <definedName name="usd_6">#REF!</definedName>
    <definedName name="usd_6_1">#REF!</definedName>
    <definedName name="usd_7">#REF!</definedName>
    <definedName name="usd_7_1">#REF!</definedName>
    <definedName name="usd_8">#REF!</definedName>
    <definedName name="usd_8_1">#REF!</definedName>
    <definedName name="usd_9">#REF!</definedName>
    <definedName name="usd_9_1">#REF!</definedName>
    <definedName name="USDRs">#REF!</definedName>
    <definedName name="USDYen">#REF!</definedName>
    <definedName name="Use_Alternates">#REF!</definedName>
    <definedName name="UserCompany">#REF!</definedName>
    <definedName name="UserEmail">#REF!</definedName>
    <definedName name="UserFax">#REF!</definedName>
    <definedName name="UserFSC">#REF!</definedName>
    <definedName name="UserStreet">#REF!</definedName>
    <definedName name="UserTel">#REF!</definedName>
    <definedName name="UserTown">#REF!</definedName>
    <definedName name="utf">#REF!</definedName>
    <definedName name="uu">#REF!</definedName>
    <definedName name="uuuu">#REF!</definedName>
    <definedName name="uv">#REF!</definedName>
    <definedName name="uyiytrt">#REF!</definedName>
    <definedName name="v">#REF!</definedName>
    <definedName name="v_app">#REF!</definedName>
    <definedName name="v_est">#REF!</definedName>
    <definedName name="v_paid">#REF!</definedName>
    <definedName name="v_quo">#REF!</definedName>
    <definedName name="v_rec">#REF!</definedName>
    <definedName name="v_tot">#REF!</definedName>
    <definedName name="V1_V3">#REF!</definedName>
    <definedName name="va">#REF!</definedName>
    <definedName name="va___0">#REF!</definedName>
    <definedName name="va___13">#REF!</definedName>
    <definedName name="vad">#REF!</definedName>
    <definedName name="vaf">#REF!</definedName>
    <definedName name="Validity">#REF!</definedName>
    <definedName name="Values_Entered" localSheetId="16">IF(How_many_floors&gt;0,1,0)</definedName>
    <definedName name="Values_Entered" localSheetId="2">IF(How_many_floors&gt;0,1,0)</definedName>
    <definedName name="Values_Entered">IF(How_many_floors&gt;0,1,0)</definedName>
    <definedName name="Values_Entered_1" localSheetId="16">IF(How_many_floors&gt;0,1,0)</definedName>
    <definedName name="Values_Entered_1" localSheetId="2">IF(How_many_floors&gt;0,1,0)</definedName>
    <definedName name="Values_Entered_1">IF(How_many_floors&gt;0,1,0)</definedName>
    <definedName name="Values_Entered_2" localSheetId="16">IF(How_many_floors&gt;0,1,0)</definedName>
    <definedName name="Values_Entered_2" localSheetId="2">IF(How_many_floors&gt;0,1,0)</definedName>
    <definedName name="Values_Entered_2">IF(How_many_floors&gt;0,1,0)</definedName>
    <definedName name="VALVE" localSheetId="16">#REF!</definedName>
    <definedName name="VALVE" localSheetId="2">#REF!</definedName>
    <definedName name="VALVE">#REF!</definedName>
    <definedName name="valve_ab" localSheetId="16">#REF!</definedName>
    <definedName name="valve_ab">#REF!</definedName>
    <definedName name="valve_hy" localSheetId="16">#REF!</definedName>
    <definedName name="valve_hy">#REF!</definedName>
    <definedName name="valve2" localSheetId="4">#REF!</definedName>
    <definedName name="valve2">#REF!</definedName>
    <definedName name="valve3" localSheetId="4">#REF!</definedName>
    <definedName name="valve3">#REF!</definedName>
    <definedName name="ValveCfg">#REF!</definedName>
    <definedName name="ValveCloseoff">#REF!</definedName>
    <definedName name="ValveCode">#REF!</definedName>
    <definedName name="ValveConn">#REF!</definedName>
    <definedName name="ValveCv">#REF!</definedName>
    <definedName name="ValveFlow">#REF!</definedName>
    <definedName name="ValveFP">#REF!</definedName>
    <definedName name="ValveQty">#REF!</definedName>
    <definedName name="valves" localSheetId="4">#REF!</definedName>
    <definedName name="valves">#REF!</definedName>
    <definedName name="ValveSize">#REF!</definedName>
    <definedName name="vanchuyen">#REF!</definedName>
    <definedName name="VANDEMATARAM">#REF!</definedName>
    <definedName name="var_ord">#REF!</definedName>
    <definedName name="var_ord_h_lam">#REF!</definedName>
    <definedName name="var_ord_std_lam_h_lam">#REF!</definedName>
    <definedName name="variation" hidden="1">[11]A.O.R.!#REF!</definedName>
    <definedName name="VARIINST" localSheetId="16">#REF!</definedName>
    <definedName name="VARIINST">#REF!</definedName>
    <definedName name="VARIPURC" localSheetId="16">#REF!</definedName>
    <definedName name="VARIPURC">#REF!</definedName>
    <definedName name="Varnish" localSheetId="16">#REF!</definedName>
    <definedName name="Varnish" localSheetId="4">#REF!</definedName>
    <definedName name="Varnish">#REF!</definedName>
    <definedName name="Varnish1" localSheetId="4">#REF!</definedName>
    <definedName name="Varnish1">#REF!</definedName>
    <definedName name="vas">#REF!</definedName>
    <definedName name="vasantha">#REF!</definedName>
    <definedName name="vat_lieu_KVIII">#REF!</definedName>
    <definedName name="vat13.5">#REF!</definedName>
    <definedName name="vatf">#REF!</definedName>
    <definedName name="Vattu">#REF!</definedName>
    <definedName name="vavf">#REF!</definedName>
    <definedName name="VB">#REF!</definedName>
    <definedName name="VCD">#REF!</definedName>
    <definedName name="vcp">#REF!</definedName>
    <definedName name="VD">#REF!</definedName>
    <definedName name="vd_apt">#REF!</definedName>
    <definedName name="vea">'[50]As per PCA'!#REF!</definedName>
    <definedName name="Vend" localSheetId="16">#REF!</definedName>
    <definedName name="Vend" localSheetId="11">#REF!</definedName>
    <definedName name="Vend" localSheetId="12">#REF!</definedName>
    <definedName name="Vend" localSheetId="13">#REF!</definedName>
    <definedName name="Vend" localSheetId="14">#REF!</definedName>
    <definedName name="Vend" localSheetId="15">#REF!</definedName>
    <definedName name="Vend" localSheetId="10">#REF!</definedName>
    <definedName name="Vend" localSheetId="2">#REF!</definedName>
    <definedName name="Vend">#REF!</definedName>
    <definedName name="vender_1500KVA" localSheetId="16">#REF!</definedName>
    <definedName name="vender_1500KVA">#REF!</definedName>
    <definedName name="VENDOR" localSheetId="16">#REF!</definedName>
    <definedName name="VENDOR">#REF!</definedName>
    <definedName name="vendor_500KVA">#REF!</definedName>
    <definedName name="vent300">#REF!</definedName>
    <definedName name="vent600">#REF!</definedName>
    <definedName name="VersionText">#REF!</definedName>
    <definedName name="vertical_col_and_corner_walls">#REF!</definedName>
    <definedName name="Vf">#REF!</definedName>
    <definedName name="vfdf">#REF!</definedName>
    <definedName name="vhs">#REF!</definedName>
    <definedName name="VIDYA">#REF!</definedName>
    <definedName name="viv">#REF!</definedName>
    <definedName name="VIVEKANANDA">#REF!</definedName>
    <definedName name="vl">#REF!</definedName>
    <definedName name="vll">#REF!</definedName>
    <definedName name="VM">#REF!</definedName>
    <definedName name="vntf100">#REF!</definedName>
    <definedName name="vntf80">#REF!</definedName>
    <definedName name="Vr">[105]Digestion!$E$45</definedName>
    <definedName name="Vsigma" localSheetId="16">#REF!</definedName>
    <definedName name="Vsigma" localSheetId="11">#REF!</definedName>
    <definedName name="Vsigma" localSheetId="12">#REF!</definedName>
    <definedName name="Vsigma" localSheetId="13">#REF!</definedName>
    <definedName name="Vsigma" localSheetId="14">#REF!</definedName>
    <definedName name="Vsigma" localSheetId="15">#REF!</definedName>
    <definedName name="Vsigma" localSheetId="10">#REF!</definedName>
    <definedName name="Vsigma" localSheetId="2">#REF!</definedName>
    <definedName name="Vsigma">#REF!</definedName>
    <definedName name="VT" localSheetId="16">#REF!</definedName>
    <definedName name="VT">#REF!</definedName>
    <definedName name="Vua" localSheetId="16">#REF!</definedName>
    <definedName name="Vua">#REF!</definedName>
    <definedName name="vvv">#REF!</definedName>
    <definedName name="vvvv">#REF!</definedName>
    <definedName name="vvvvv">#REF!</definedName>
    <definedName name="Vz">#REF!</definedName>
    <definedName name="W">#REF!</definedName>
    <definedName name="Waiting">"Picture 1"</definedName>
    <definedName name="War">#REF!</definedName>
    <definedName name="Was">#REF!</definedName>
    <definedName name="washfacility">#REF!</definedName>
    <definedName name="Watchmen">#REF!</definedName>
    <definedName name="WATER_CHARGES">#REF!</definedName>
    <definedName name="WaterandPower">1.5/100</definedName>
    <definedName name="waterpump">#REF!</definedName>
    <definedName name="waterstop">#REF!</definedName>
    <definedName name="watertank">#REF!</definedName>
    <definedName name="wdapr07">#REF!</definedName>
    <definedName name="wdjun07">#REF!</definedName>
    <definedName name="wdmay07">#REF!</definedName>
    <definedName name="we" localSheetId="16">#REF!</definedName>
    <definedName name="we" localSheetId="11">#REF!</definedName>
    <definedName name="we" localSheetId="12">#REF!</definedName>
    <definedName name="we" localSheetId="13">#REF!</definedName>
    <definedName name="we" localSheetId="14">#REF!</definedName>
    <definedName name="we" localSheetId="15">#REF!</definedName>
    <definedName name="we" localSheetId="10">#REF!</definedName>
    <definedName name="we" localSheetId="4" hidden="1">#REF!</definedName>
    <definedName name="we" localSheetId="0" hidden="1">#REF!</definedName>
    <definedName name="we">#REF!</definedName>
    <definedName name="WearingCourse">#REF!</definedName>
    <definedName name="Weath.Course" localSheetId="4">#REF!</definedName>
    <definedName name="Weath.Course">#REF!</definedName>
    <definedName name="weekly_average_concrete_production">#REF!</definedName>
    <definedName name="weekly_total_concrete_production">#REF!</definedName>
    <definedName name="weld">#REF!</definedName>
    <definedName name="welder">#REF!</definedName>
    <definedName name="Wellsinker">#REF!</definedName>
    <definedName name="WEW" localSheetId="11">#REF!</definedName>
    <definedName name="WEW" localSheetId="12">#REF!</definedName>
    <definedName name="WEW" localSheetId="13">#REF!</definedName>
    <definedName name="WEW" localSheetId="14">#REF!</definedName>
    <definedName name="WEW" localSheetId="15">#REF!</definedName>
    <definedName name="WEW" localSheetId="10">#REF!</definedName>
    <definedName name="WEW">#REF!</definedName>
    <definedName name="White_Wash" localSheetId="4">#REF!</definedName>
    <definedName name="White_Wash">#REF!</definedName>
    <definedName name="wid" localSheetId="11">#REF!</definedName>
    <definedName name="wid" localSheetId="12">#REF!</definedName>
    <definedName name="wid" localSheetId="13">#REF!</definedName>
    <definedName name="wid" localSheetId="14">#REF!</definedName>
    <definedName name="wid" localSheetId="15">#REF!</definedName>
    <definedName name="wid" localSheetId="10">#REF!</definedName>
    <definedName name="wid">#REF!</definedName>
    <definedName name="Win_Grill" localSheetId="4">#REF!</definedName>
    <definedName name="Win_Grill">#REF!</definedName>
    <definedName name="Win_M.S_RODl" localSheetId="4">#REF!</definedName>
    <definedName name="Win_M.S_RODl">#REF!</definedName>
    <definedName name="WINDOW">#REF!</definedName>
    <definedName name="wip">#REF!</definedName>
    <definedName name="wkjul07">#REF!</definedName>
    <definedName name="Wkshopblk">#REF!</definedName>
    <definedName name="WLP">#REF!</definedName>
    <definedName name="wood">#REF!</definedName>
    <definedName name="Wood_Paint" localSheetId="4">#REF!</definedName>
    <definedName name="Wood_Paint">#REF!</definedName>
    <definedName name="WOODWORK">[11]A.O.R.!#REF!</definedName>
    <definedName name="Wor" localSheetId="16">#REF!</definedName>
    <definedName name="Wor">#REF!</definedName>
    <definedName name="Words" localSheetId="16">#REF!</definedName>
    <definedName name="Words">#REF!</definedName>
    <definedName name="work" localSheetId="16">#REF!</definedName>
    <definedName name="work">#REF!</definedName>
    <definedName name="work_13">"$#REF!.$D$#REF!"</definedName>
    <definedName name="work_9">"'file:///E:/Perlos/Revised%20Tender/Perlos%20R1%20With%20VAT%20Nil%20ED%20&amp;%20ST.xls'#$''.$BS$71"</definedName>
    <definedName name="work_day">#REF!</definedName>
    <definedName name="worker">#REF!</definedName>
    <definedName name="WP" localSheetId="16">#REF!</definedName>
    <definedName name="WP">#REF!</definedName>
    <definedName name="wpintg">#REF!</definedName>
    <definedName name="wpmembrane">#REF!</definedName>
    <definedName name="wprooflayer">#REF!</definedName>
    <definedName name="wpworks">#REF!</definedName>
    <definedName name="wqe">#REF!</definedName>
    <definedName name="wrn.All._.Three._.Sheets." localSheetId="16" hidden="1">{#N/A,#N/A,FALSE,"Legal Entities";#N/A,#N/A,FALSE,"Departments";#N/A,#N/A,FALSE,"Chart of Accounts"}</definedName>
    <definedName name="wrn.All._.Three._.Sheets." localSheetId="11" hidden="1">{#N/A,#N/A,FALSE,"Legal Entities";#N/A,#N/A,FALSE,"Departments";#N/A,#N/A,FALSE,"Chart of Accounts"}</definedName>
    <definedName name="wrn.All._.Three._.Sheets." localSheetId="12" hidden="1">{#N/A,#N/A,FALSE,"Legal Entities";#N/A,#N/A,FALSE,"Departments";#N/A,#N/A,FALSE,"Chart of Accounts"}</definedName>
    <definedName name="wrn.All._.Three._.Sheets." localSheetId="13" hidden="1">{#N/A,#N/A,FALSE,"Legal Entities";#N/A,#N/A,FALSE,"Departments";#N/A,#N/A,FALSE,"Chart of Accounts"}</definedName>
    <definedName name="wrn.All._.Three._.Sheets." localSheetId="14" hidden="1">{#N/A,#N/A,FALSE,"Legal Entities";#N/A,#N/A,FALSE,"Departments";#N/A,#N/A,FALSE,"Chart of Accounts"}</definedName>
    <definedName name="wrn.All._.Three._.Sheets." localSheetId="15" hidden="1">{#N/A,#N/A,FALSE,"Legal Entities";#N/A,#N/A,FALSE,"Departments";#N/A,#N/A,FALSE,"Chart of Accounts"}</definedName>
    <definedName name="wrn.All._.Three._.Sheets." localSheetId="10" hidden="1">{#N/A,#N/A,FALSE,"Legal Entities";#N/A,#N/A,FALSE,"Departments";#N/A,#N/A,FALSE,"Chart of Accounts"}</definedName>
    <definedName name="wrn.All._.Three._.Sheets." localSheetId="2" hidden="1">{#N/A,#N/A,FALSE,"Legal Entities";#N/A,#N/A,FALSE,"Departments";#N/A,#N/A,FALSE,"Chart of Accounts"}</definedName>
    <definedName name="wrn.All._.Three._.Sheets." localSheetId="8" hidden="1">{#N/A,#N/A,FALSE,"Legal Entities";#N/A,#N/A,FALSE,"Departments";#N/A,#N/A,FALSE,"Chart of Accounts"}</definedName>
    <definedName name="wrn.All._.Three._.Sheets." hidden="1">{#N/A,#N/A,FALSE,"Legal Entities";#N/A,#N/A,FALSE,"Departments";#N/A,#N/A,FALSE,"Chart of Accounts"}</definedName>
    <definedName name="wrn.alle.">#REF!</definedName>
    <definedName name="wrn.Full._.Report." localSheetId="16" hidden="1">{#N/A,#N/A,TRUE,"Front";#N/A,#N/A,TRUE,"Simple Letter";#N/A,#N/A,TRUE,"Inside";#N/A,#N/A,TRUE,"Contents";#N/A,#N/A,TRUE,"Basis";#N/A,#N/A,TRUE,"Inclusions";#N/A,#N/A,TRUE,"Exclusions";#N/A,#N/A,TRUE,"Areas";#N/A,#N/A,TRUE,"Summary";#N/A,#N/A,TRUE,"Detail"}</definedName>
    <definedName name="wrn.Full._.Report.">#REF!</definedName>
    <definedName name="WTP">#REF!</definedName>
    <definedName name="WW" localSheetId="16">#N/A</definedName>
    <definedName name="WW">#REF!</definedName>
    <definedName name="wwww">#REF!</definedName>
    <definedName name="x">#REF!</definedName>
    <definedName name="X980210_payment_printing_List">#REF!</definedName>
    <definedName name="xbfvc" localSheetId="16">#REF!</definedName>
    <definedName name="xbfvc" localSheetId="11">#REF!</definedName>
    <definedName name="xbfvc" localSheetId="12">#REF!</definedName>
    <definedName name="xbfvc" localSheetId="13">#REF!</definedName>
    <definedName name="xbfvc" localSheetId="14">#REF!</definedName>
    <definedName name="xbfvc" localSheetId="15">#REF!</definedName>
    <definedName name="xbfvc" localSheetId="10">#REF!</definedName>
    <definedName name="xbfvc">#REF!</definedName>
    <definedName name="xbvc" localSheetId="16">#REF!</definedName>
    <definedName name="xbvc" localSheetId="11">#REF!</definedName>
    <definedName name="xbvc" localSheetId="12">#REF!</definedName>
    <definedName name="xbvc" localSheetId="13">#REF!</definedName>
    <definedName name="xbvc" localSheetId="14">#REF!</definedName>
    <definedName name="xbvc" localSheetId="15">#REF!</definedName>
    <definedName name="xbvc" localSheetId="10">#REF!</definedName>
    <definedName name="xbvc">#REF!</definedName>
    <definedName name="xcv" localSheetId="16">#REF!</definedName>
    <definedName name="xcv" localSheetId="11">#REF!</definedName>
    <definedName name="xcv" localSheetId="12">#REF!</definedName>
    <definedName name="xcv" localSheetId="13">#REF!</definedName>
    <definedName name="xcv" localSheetId="14">#REF!</definedName>
    <definedName name="xcv" localSheetId="15">#REF!</definedName>
    <definedName name="xcv" localSheetId="10">#REF!</definedName>
    <definedName name="xcv">#REF!</definedName>
    <definedName name="xfd">#REF!</definedName>
    <definedName name="xfgxgh">#REF!</definedName>
    <definedName name="Xl">#REF!</definedName>
    <definedName name="Xl___0">#REF!</definedName>
    <definedName name="Xl___13">#REF!</definedName>
    <definedName name="XMVC">#REF!</definedName>
    <definedName name="xx">#REF!</definedName>
    <definedName name="xxx" localSheetId="16">MATCH(0.01,'C&amp;I Makes'!End_Bal,-1)+1</definedName>
    <definedName name="xxx">#REF!</definedName>
    <definedName name="xxxxx">#REF!</definedName>
    <definedName name="xyz" localSheetId="16">#REF!</definedName>
    <definedName name="xyz">#REF!</definedName>
    <definedName name="xz">#REF!</definedName>
    <definedName name="xzxz">#N/A</definedName>
    <definedName name="y">'[106]Input '!$AW$2006:$AW$2106</definedName>
    <definedName name="yellowboxmark" localSheetId="16">#REF!</definedName>
    <definedName name="yellowboxmark" localSheetId="2">#REF!</definedName>
    <definedName name="yellowboxmark">#REF!</definedName>
    <definedName name="YEN" localSheetId="16">#REF!</definedName>
    <definedName name="YEN">#REF!</definedName>
    <definedName name="YesNoMaybe">#REF!</definedName>
    <definedName name="YF" localSheetId="16">#REF!</definedName>
    <definedName name="YF">#REF!</definedName>
    <definedName name="yfu">#REF!</definedName>
    <definedName name="yguiyi">#REF!</definedName>
    <definedName name="yh">#REF!</definedName>
    <definedName name="yiu">#REF!</definedName>
    <definedName name="yjg">#REF!</definedName>
    <definedName name="YN">#REF!</definedName>
    <definedName name="yty">#REF!</definedName>
    <definedName name="yu">#REF!</definedName>
    <definedName name="yuk_plhy">#REF!</definedName>
    <definedName name="yutrtery">#REF!</definedName>
    <definedName name="yuva">#REF!</definedName>
    <definedName name="yxcyxc">#REF!</definedName>
    <definedName name="yyy" localSheetId="16">'[9]col-reinft1'!#REF!</definedName>
    <definedName name="yyy">#REF!</definedName>
    <definedName name="yyyyyyy">[104]Design!#REF!</definedName>
    <definedName name="z">'[107]Section 3_DPR'!#REF!</definedName>
    <definedName name="Z_1" localSheetId="16">#REF!</definedName>
    <definedName name="Z_1" localSheetId="2">#REF!</definedName>
    <definedName name="Z_1">#REF!</definedName>
    <definedName name="Z_10" localSheetId="16">#REF!</definedName>
    <definedName name="Z_10">#REF!</definedName>
    <definedName name="Z_11" localSheetId="16">#REF!</definedName>
    <definedName name="Z_11">#REF!</definedName>
    <definedName name="Z_12">#REF!</definedName>
    <definedName name="Z_4692F10A_34BC_477E_8092_15AF4E1BBECB_.wvu.PrintArea">#REF!</definedName>
    <definedName name="Z_4692F10A_34BC_477E_8092_15AF4E1BBECB_.wvu.PrintArea_1">#REF!</definedName>
    <definedName name="Z_4692F10A_34BC_477E_8092_15AF4E1BBECB_.wvu.PrintTitles">#REF!</definedName>
    <definedName name="Z_P">#REF!</definedName>
    <definedName name="ZAKAS">#REF!</definedName>
    <definedName name="ZAKAS_11">#REF!</definedName>
    <definedName name="Zip">#REF!</definedName>
    <definedName name="zitd" localSheetId="4">#REF!</definedName>
    <definedName name="zitd">#REF!</definedName>
    <definedName name="zitd_1">#REF!</definedName>
    <definedName name="zitd_16">#REF!</definedName>
    <definedName name="zitd_16_1">#REF!</definedName>
    <definedName name="zitd_17">#REF!</definedName>
    <definedName name="zitd_17_1">#REF!</definedName>
    <definedName name="zitd_18">#REF!</definedName>
    <definedName name="zitd_18_1">#REF!</definedName>
    <definedName name="zitd_19">#REF!</definedName>
    <definedName name="zitd_19_1">#REF!</definedName>
    <definedName name="zitd_4">#REF!</definedName>
    <definedName name="zitd_4_1">#REF!</definedName>
    <definedName name="zitd_5">#REF!</definedName>
    <definedName name="zitd_5_1">#REF!</definedName>
    <definedName name="zitd_6">#REF!</definedName>
    <definedName name="zitd_6_1">#REF!</definedName>
    <definedName name="zitd_7">#REF!</definedName>
    <definedName name="zitd_7_1">#REF!</definedName>
    <definedName name="zitd_8">#REF!</definedName>
    <definedName name="zitd_8_1">#REF!</definedName>
    <definedName name="zitd_9">#REF!</definedName>
    <definedName name="zitd_9_1">#REF!</definedName>
    <definedName name="zl">#REF!</definedName>
    <definedName name="zl___0">#REF!</definedName>
    <definedName name="zl___13">#REF!</definedName>
    <definedName name="zlpu">#REF!</definedName>
    <definedName name="zlpu___0">#REF!</definedName>
    <definedName name="zlpu___13">#REF!</definedName>
    <definedName name="Zone_1" localSheetId="4">#REF!</definedName>
    <definedName name="Zone_1" localSheetId="0">#REF!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xc">#REF!</definedName>
    <definedName name="ZY">#REF!</definedName>
    <definedName name="ZY___0">#REF!</definedName>
    <definedName name="ZY___13">#REF!</definedName>
    <definedName name="ZYX">#REF!</definedName>
    <definedName name="zz">'[107]Section 3_DPR'!#REF!</definedName>
    <definedName name="ZZZ" localSheetId="16">#REF!</definedName>
    <definedName name="ZZZ" localSheetId="2">#REF!</definedName>
    <definedName name="ZZZ">#REF!</definedName>
    <definedName name="お１４７５" localSheetId="16">#REF!</definedName>
    <definedName name="お１４７５">#REF!</definedName>
    <definedName name="ガラス" localSheetId="16">#REF!</definedName>
    <definedName name="ガラス">#REF!</definedName>
    <definedName name="ｷｸﾞ_1">#REF!</definedName>
    <definedName name="ｹｼ1">#REF!</definedName>
    <definedName name="ｹｼ2">#REF!</definedName>
    <definedName name="ｹｼ3">#REF!</definedName>
    <definedName name="ｹｼ4">#REF!</definedName>
    <definedName name="ｹｼ5">#REF!</definedName>
    <definedName name="コンクリート">#REF!</definedName>
    <definedName name="ｼｽｳ_1">#REF!</definedName>
    <definedName name="ｼｮｳﾒｲﾘﾂ_1">#REF!</definedName>
    <definedName name="ｼｮｳﾒｲﾘﾂ_2">#REF!</definedName>
    <definedName name="ｽﾞｰﾑ">#REF!</definedName>
    <definedName name="タイル工事">#REF!</definedName>
    <definedName name="っｋ" hidden="1">#REF!</definedName>
    <definedName name="ﾊﾝｼｬﾘﾂ">#REF!</definedName>
    <definedName name="ﾌｧｲﾙ">#REF!</definedName>
    <definedName name="ﾍﾔｼｽｳ_2">#REF!</definedName>
    <definedName name="ﾎｼｭﾘﾂ">#REF!</definedName>
    <definedName name="マクロ">#REF!</definedName>
    <definedName name="まくろ">#REF!</definedName>
    <definedName name="マクロ１">#REF!</definedName>
    <definedName name="まくろ１">#REF!</definedName>
    <definedName name="まくろ２">#REF!</definedName>
    <definedName name="まくろ３">#REF!</definedName>
    <definedName name="ﾒﾆｭｰ">#REF!</definedName>
    <definedName name="メニュー1">#REF!</definedName>
    <definedName name="もりた">#REF!</definedName>
    <definedName name="よし">#REF!</definedName>
    <definedName name="ﾗﾝﾌﾟ_1">#REF!</definedName>
    <definedName name="ﾗﾝﾌﾟ_2">#REF!</definedName>
    <definedName name="ﾗﾝﾌﾟ_3">#REF!</definedName>
    <definedName name="ㅁ1">#REF!</definedName>
    <definedName name="ㅁㅂ">#REF!</definedName>
    <definedName name="전체">#REF!</definedName>
    <definedName name="ㅏ271">#REF!</definedName>
    <definedName name="三社材料">#REF!</definedName>
    <definedName name="代価">#REF!</definedName>
    <definedName name="保印">#REF!</definedName>
    <definedName name="個">#REF!</definedName>
    <definedName name="入力値">#REF!</definedName>
    <definedName name="全部">#REF!</definedName>
    <definedName name="公式">#REF!</definedName>
    <definedName name="内外装">#REF!</definedName>
    <definedName name="内訳書">#REF!</definedName>
    <definedName name="出力">#REF!</definedName>
    <definedName name="削除">#REF!</definedName>
    <definedName name="削除分_PriceList2001と2002との差分_">#REF!</definedName>
    <definedName name="削除分_PriceList2001と2002の差分_">#REF!</definedName>
    <definedName name="勝">#REF!</definedName>
    <definedName name="単位">#REF!</definedName>
    <definedName name="単価">#REF!</definedName>
    <definedName name="単入">#REF!</definedName>
    <definedName name="印刷">#REF!</definedName>
    <definedName name="印刷A">#REF!</definedName>
    <definedName name="合計">#REF!</definedName>
    <definedName name="土工事">#REF!</definedName>
    <definedName name="型枠工事">#REF!</definedName>
    <definedName name="塗装工事">#REF!</definedName>
    <definedName name="屋根工事">#REF!</definedName>
    <definedName name="工・">#REF!</definedName>
    <definedName name="工事">#REF!</definedName>
    <definedName name="左官工事">#REF!</definedName>
    <definedName name="支持材種類">#REF!</definedName>
    <definedName name="支持材種類J">#REF!</definedName>
    <definedName name="日">#REF!</definedName>
    <definedName name="木工事">#REF!</definedName>
    <definedName name="木製建具">#REF!</definedName>
    <definedName name="材料">#REF!</definedName>
    <definedName name="材料単位">#REF!</definedName>
    <definedName name="材料単位J">#REF!</definedName>
    <definedName name="杭工事">#REF!</definedName>
    <definedName name="枚数">#REF!</definedName>
    <definedName name="特15">#REF!</definedName>
    <definedName name="現法">#REF!</definedName>
    <definedName name="登録">#REF!</definedName>
    <definedName name="白紙">#REF!</definedName>
    <definedName name="直入">#REF!</definedName>
    <definedName name="直轄">#REF!</definedName>
    <definedName name="石工事">#REF!</definedName>
    <definedName name="種類">#REF!</definedName>
    <definedName name="管理施設費計">#REF!</definedName>
    <definedName name="組積工事">#REF!</definedName>
    <definedName name="編集">#REF!</definedName>
    <definedName name="罫線">#REF!</definedName>
    <definedName name="表示">#REF!</definedName>
    <definedName name="計算">#REF!</definedName>
    <definedName name="記入">#REF!</definedName>
    <definedName name="追削">#REF!</definedName>
    <definedName name="追加">#REF!</definedName>
    <definedName name="追加分_PriceList2002と2001との差分_">#REF!</definedName>
    <definedName name="追加分_PriceList2002と2001の差分_">#REF!</definedName>
    <definedName name="連動">#REF!</definedName>
    <definedName name="部屋指数">#REF!</definedName>
    <definedName name="金属工事">#REF!</definedName>
    <definedName name="金属製建具">#REF!</definedName>
    <definedName name="鉄筋工事">#REF!</definedName>
    <definedName name="鉄骨工事">#REF!</definedName>
    <definedName name="防水工事">#REF!</definedName>
    <definedName name="雑工事">#REF!</definedName>
    <definedName name="頁計">#REF!</definedName>
    <definedName name="項目">#REF!</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 i="11"/>
  <c r="G18"/>
  <c r="G17"/>
  <c r="G19"/>
  <c r="G1739" i="30" l="1"/>
  <c r="J2051"/>
  <c r="J1992"/>
  <c r="G1974"/>
  <c r="J1974" s="1"/>
  <c r="H19" i="11"/>
  <c r="L19" s="1"/>
  <c r="H18"/>
  <c r="L18" s="1"/>
  <c r="H17"/>
  <c r="L17" s="1"/>
  <c r="I17" l="1"/>
  <c r="E385" i="10" s="1"/>
  <c r="D50" i="12"/>
  <c r="D49"/>
  <c r="D48"/>
  <c r="D47"/>
  <c r="D46"/>
  <c r="D45"/>
  <c r="D44"/>
  <c r="D43"/>
  <c r="D41"/>
  <c r="D40"/>
  <c r="D39"/>
  <c r="D36"/>
  <c r="D35"/>
  <c r="D34"/>
  <c r="D33"/>
  <c r="D30"/>
  <c r="D29"/>
  <c r="D5"/>
  <c r="D6"/>
  <c r="D7"/>
  <c r="D8"/>
  <c r="D9"/>
  <c r="D10"/>
  <c r="D11"/>
  <c r="D12"/>
  <c r="D13"/>
  <c r="D14"/>
  <c r="D15"/>
  <c r="D16"/>
  <c r="D17"/>
  <c r="D18"/>
  <c r="D19"/>
  <c r="D20"/>
  <c r="D21"/>
  <c r="D22"/>
  <c r="D23"/>
  <c r="D24"/>
  <c r="D25"/>
  <c r="D26"/>
  <c r="D27"/>
  <c r="B121" i="26"/>
  <c r="A121"/>
  <c r="B95"/>
  <c r="A95"/>
  <c r="B70"/>
  <c r="A70"/>
  <c r="A50"/>
  <c r="B50"/>
  <c r="B49"/>
  <c r="A49"/>
  <c r="A45"/>
  <c r="A44"/>
  <c r="A43"/>
  <c r="B45"/>
  <c r="B44"/>
  <c r="B43"/>
  <c r="B40"/>
  <c r="A40"/>
  <c r="B38"/>
  <c r="A38"/>
  <c r="B35"/>
  <c r="A35"/>
  <c r="B13"/>
  <c r="B12"/>
  <c r="B9"/>
  <c r="A4"/>
  <c r="B6"/>
  <c r="B5"/>
  <c r="B4"/>
  <c r="I18" i="11" l="1"/>
  <c r="E415" i="10" s="1"/>
  <c r="I19" i="11"/>
  <c r="E353" i="10" s="1"/>
  <c r="B8" i="38"/>
  <c r="B7"/>
  <c r="B6"/>
  <c r="B5"/>
  <c r="K8"/>
  <c r="E1212" i="10" s="1"/>
  <c r="J8" i="38"/>
  <c r="H8"/>
  <c r="F8"/>
  <c r="H10" l="1"/>
  <c r="F10"/>
  <c r="J10"/>
  <c r="A10" i="36"/>
  <c r="K12" i="37" l="1"/>
  <c r="J12"/>
  <c r="H12"/>
  <c r="F12"/>
  <c r="B12"/>
  <c r="A12"/>
  <c r="K11"/>
  <c r="J11"/>
  <c r="H11"/>
  <c r="F11"/>
  <c r="B11"/>
  <c r="A11"/>
  <c r="K10"/>
  <c r="J10"/>
  <c r="H10"/>
  <c r="F10"/>
  <c r="F13" s="1"/>
  <c r="B10"/>
  <c r="A10"/>
  <c r="K9"/>
  <c r="J9"/>
  <c r="H9"/>
  <c r="F9"/>
  <c r="B9"/>
  <c r="A9"/>
  <c r="B8"/>
  <c r="A8"/>
  <c r="K7"/>
  <c r="E6" i="34" s="1"/>
  <c r="J7" i="37"/>
  <c r="J13" s="1"/>
  <c r="J15" s="1"/>
  <c r="H7"/>
  <c r="H13" s="1"/>
  <c r="H15" s="1"/>
  <c r="F7"/>
  <c r="B7"/>
  <c r="A7"/>
  <c r="B6"/>
  <c r="A6"/>
  <c r="B5"/>
  <c r="K13" i="36"/>
  <c r="E12" i="33" s="1"/>
  <c r="J13" i="36"/>
  <c r="H13"/>
  <c r="F13"/>
  <c r="B13"/>
  <c r="A13"/>
  <c r="K12"/>
  <c r="E11" i="33" s="1"/>
  <c r="J12" i="36"/>
  <c r="H12"/>
  <c r="F12"/>
  <c r="B12"/>
  <c r="A12"/>
  <c r="K11"/>
  <c r="J11"/>
  <c r="H11"/>
  <c r="F11"/>
  <c r="B11"/>
  <c r="A11"/>
  <c r="K10"/>
  <c r="E9" i="33" s="1"/>
  <c r="J10" i="36"/>
  <c r="H10"/>
  <c r="F10"/>
  <c r="B10"/>
  <c r="B9"/>
  <c r="K8"/>
  <c r="E7" i="33" s="1"/>
  <c r="J8" i="36"/>
  <c r="H8"/>
  <c r="F8"/>
  <c r="B8"/>
  <c r="A8"/>
  <c r="K7"/>
  <c r="J7"/>
  <c r="J14" s="1"/>
  <c r="H7"/>
  <c r="H14" s="1"/>
  <c r="F7"/>
  <c r="F14" s="1"/>
  <c r="F15" s="1"/>
  <c r="F16" s="1"/>
  <c r="B7"/>
  <c r="A7"/>
  <c r="B6"/>
  <c r="A6"/>
  <c r="B5"/>
  <c r="A5"/>
  <c r="E11" i="34"/>
  <c r="E10"/>
  <c r="E9"/>
  <c r="E8"/>
  <c r="E10" i="33"/>
  <c r="E6"/>
  <c r="H15" i="36" l="1"/>
  <c r="H16" s="1"/>
  <c r="J15"/>
  <c r="J16" s="1"/>
  <c r="F14" i="37"/>
  <c r="F15" s="1"/>
  <c r="G3454" i="30" l="1"/>
  <c r="G3447"/>
  <c r="G3439"/>
  <c r="G3431"/>
  <c r="G3389"/>
  <c r="G3328"/>
  <c r="G3302"/>
  <c r="G3276"/>
  <c r="G3250"/>
  <c r="H235" l="1"/>
  <c r="H234"/>
  <c r="H233"/>
  <c r="H229"/>
  <c r="H228"/>
  <c r="H227"/>
  <c r="H226"/>
  <c r="H225"/>
  <c r="H224"/>
  <c r="H223"/>
  <c r="H222"/>
  <c r="H221"/>
  <c r="H220"/>
  <c r="H219"/>
  <c r="H218"/>
  <c r="H217"/>
  <c r="H216"/>
  <c r="H215"/>
  <c r="H214"/>
  <c r="H213"/>
  <c r="H212"/>
  <c r="H211"/>
  <c r="H210"/>
  <c r="H209"/>
  <c r="H208"/>
  <c r="H207"/>
  <c r="H206"/>
  <c r="H205"/>
  <c r="H204"/>
  <c r="H203"/>
  <c r="H202"/>
  <c r="H201"/>
  <c r="H200"/>
  <c r="H199"/>
  <c r="H197"/>
  <c r="H196"/>
  <c r="H195"/>
  <c r="H194"/>
  <c r="H193"/>
  <c r="H192"/>
  <c r="H191"/>
  <c r="H190"/>
  <c r="H189"/>
  <c r="H188"/>
  <c r="H187"/>
  <c r="H186"/>
  <c r="H185"/>
  <c r="H184"/>
  <c r="H183"/>
  <c r="H182"/>
  <c r="H181"/>
  <c r="H180"/>
  <c r="H179"/>
  <c r="H178"/>
  <c r="H177"/>
  <c r="H176"/>
  <c r="H175"/>
  <c r="H174"/>
  <c r="H173"/>
  <c r="H172"/>
  <c r="H171"/>
  <c r="H170"/>
  <c r="H169"/>
  <c r="H109" l="1"/>
  <c r="H108"/>
  <c r="H107"/>
  <c r="H84"/>
  <c r="H85"/>
  <c r="H86"/>
  <c r="H87"/>
  <c r="H88"/>
  <c r="H89"/>
  <c r="H90"/>
  <c r="H91"/>
  <c r="H92"/>
  <c r="H93"/>
  <c r="H94"/>
  <c r="H95"/>
  <c r="H96"/>
  <c r="H97"/>
  <c r="H98"/>
  <c r="H99"/>
  <c r="H100"/>
  <c r="H101"/>
  <c r="H102"/>
  <c r="H103"/>
  <c r="H83"/>
  <c r="H82"/>
  <c r="H81"/>
  <c r="H74"/>
  <c r="H75"/>
  <c r="H76"/>
  <c r="H77"/>
  <c r="H78"/>
  <c r="H79"/>
  <c r="H80"/>
  <c r="H73"/>
  <c r="H44"/>
  <c r="H45"/>
  <c r="H46"/>
  <c r="H47"/>
  <c r="H48"/>
  <c r="H49"/>
  <c r="H50"/>
  <c r="H51"/>
  <c r="H52"/>
  <c r="H53"/>
  <c r="H54"/>
  <c r="H55"/>
  <c r="H56"/>
  <c r="H57"/>
  <c r="H58"/>
  <c r="H59"/>
  <c r="H60"/>
  <c r="H61"/>
  <c r="H62"/>
  <c r="H63"/>
  <c r="H64"/>
  <c r="H65"/>
  <c r="H66"/>
  <c r="H67"/>
  <c r="H68"/>
  <c r="H69"/>
  <c r="H70"/>
  <c r="H71"/>
  <c r="H43"/>
  <c r="H399"/>
  <c r="H400"/>
  <c r="H401"/>
  <c r="H402"/>
  <c r="H403"/>
  <c r="H404"/>
  <c r="H405"/>
  <c r="H406"/>
  <c r="H407"/>
  <c r="H408"/>
  <c r="H409"/>
  <c r="H410"/>
  <c r="H411"/>
  <c r="H412"/>
  <c r="H413"/>
  <c r="H398"/>
  <c r="H397"/>
  <c r="H394"/>
  <c r="H395"/>
  <c r="H396"/>
  <c r="H393"/>
  <c r="H384"/>
  <c r="H385"/>
  <c r="H386"/>
  <c r="H387"/>
  <c r="H388"/>
  <c r="H389"/>
  <c r="H390"/>
  <c r="H383"/>
  <c r="H354"/>
  <c r="H355"/>
  <c r="H356"/>
  <c r="H357"/>
  <c r="H358"/>
  <c r="H359"/>
  <c r="H360"/>
  <c r="H361"/>
  <c r="H362"/>
  <c r="H363"/>
  <c r="H364"/>
  <c r="H365"/>
  <c r="H366"/>
  <c r="H367"/>
  <c r="H368"/>
  <c r="H369"/>
  <c r="H370"/>
  <c r="H371"/>
  <c r="H372"/>
  <c r="H373"/>
  <c r="H374"/>
  <c r="H375"/>
  <c r="H376"/>
  <c r="H377"/>
  <c r="H378"/>
  <c r="H379"/>
  <c r="H380"/>
  <c r="H381"/>
  <c r="H353"/>
  <c r="H346"/>
  <c r="G346"/>
  <c r="G345"/>
  <c r="H344"/>
  <c r="G344"/>
  <c r="H343"/>
  <c r="G343"/>
  <c r="H342"/>
  <c r="G342"/>
  <c r="H341"/>
  <c r="G341"/>
  <c r="H340"/>
  <c r="G340"/>
  <c r="H339"/>
  <c r="G339"/>
  <c r="H338"/>
  <c r="G338"/>
  <c r="H337"/>
  <c r="G337"/>
  <c r="H336"/>
  <c r="G336"/>
  <c r="H335"/>
  <c r="G335"/>
  <c r="H334"/>
  <c r="G334"/>
  <c r="H333"/>
  <c r="G333"/>
  <c r="H332"/>
  <c r="G332"/>
  <c r="H331"/>
  <c r="G331"/>
  <c r="H330"/>
  <c r="G330"/>
  <c r="H329"/>
  <c r="G329"/>
  <c r="H328"/>
  <c r="G328"/>
  <c r="H327"/>
  <c r="G327"/>
  <c r="H326"/>
  <c r="G326"/>
  <c r="H325"/>
  <c r="G325"/>
  <c r="H324"/>
  <c r="G324"/>
  <c r="H323"/>
  <c r="G323"/>
  <c r="H322"/>
  <c r="G322"/>
  <c r="H321"/>
  <c r="G321"/>
  <c r="B615" l="1"/>
  <c r="E202" i="10"/>
  <c r="D193"/>
  <c r="G202" l="1"/>
  <c r="J820" l="1"/>
  <c r="L820" s="1"/>
  <c r="J42" i="26"/>
  <c r="D12" i="33" s="1"/>
  <c r="F12" s="1"/>
  <c r="J3230" i="30"/>
  <c r="J3231"/>
  <c r="J3232"/>
  <c r="J3233"/>
  <c r="J3234"/>
  <c r="J3235"/>
  <c r="J3238"/>
  <c r="J3239"/>
  <c r="J3241"/>
  <c r="J3242"/>
  <c r="J3244"/>
  <c r="J3245"/>
  <c r="J3247"/>
  <c r="J3248"/>
  <c r="J3249"/>
  <c r="J3250"/>
  <c r="J3256"/>
  <c r="J3257"/>
  <c r="J3258"/>
  <c r="J3259"/>
  <c r="J3260"/>
  <c r="J3261"/>
  <c r="J3264"/>
  <c r="J3265"/>
  <c r="J3267"/>
  <c r="J3268"/>
  <c r="J3270"/>
  <c r="J3271"/>
  <c r="J3273"/>
  <c r="J3274"/>
  <c r="J3275"/>
  <c r="J3276"/>
  <c r="J3282"/>
  <c r="J3283"/>
  <c r="J3284"/>
  <c r="J3285"/>
  <c r="J3286"/>
  <c r="J3287"/>
  <c r="J3290"/>
  <c r="J3291"/>
  <c r="J3293"/>
  <c r="J3294"/>
  <c r="J3296"/>
  <c r="J3297"/>
  <c r="J3299"/>
  <c r="J3300"/>
  <c r="J3301"/>
  <c r="J3302"/>
  <c r="J3308"/>
  <c r="J3309"/>
  <c r="J3310"/>
  <c r="J3311"/>
  <c r="J3312"/>
  <c r="J3313"/>
  <c r="J3316"/>
  <c r="J3317"/>
  <c r="J3319"/>
  <c r="J3320"/>
  <c r="J3322"/>
  <c r="J3323"/>
  <c r="J3325"/>
  <c r="J3326"/>
  <c r="J3327"/>
  <c r="J3328"/>
  <c r="J3331"/>
  <c r="J3332"/>
  <c r="J3333"/>
  <c r="J3334"/>
  <c r="J3335"/>
  <c r="J3336"/>
  <c r="J3339"/>
  <c r="J3340"/>
  <c r="J3342"/>
  <c r="J3343"/>
  <c r="J3345"/>
  <c r="J3346"/>
  <c r="J3358"/>
  <c r="J3359"/>
  <c r="J3360"/>
  <c r="J3361"/>
  <c r="J3362"/>
  <c r="J3363"/>
  <c r="J3364"/>
  <c r="J3365"/>
  <c r="J3366"/>
  <c r="J3367"/>
  <c r="J3368"/>
  <c r="J3369"/>
  <c r="J3371"/>
  <c r="J3372"/>
  <c r="J3373"/>
  <c r="J3374"/>
  <c r="J3376"/>
  <c r="J3377"/>
  <c r="J3378"/>
  <c r="J3379"/>
  <c r="J3381"/>
  <c r="J3382"/>
  <c r="J3383"/>
  <c r="J3384"/>
  <c r="J3386"/>
  <c r="J3387"/>
  <c r="J3388"/>
  <c r="J3389"/>
  <c r="J3395"/>
  <c r="J3396"/>
  <c r="J3397"/>
  <c r="J3398"/>
  <c r="J3399"/>
  <c r="J3400"/>
  <c r="J3401"/>
  <c r="J3402"/>
  <c r="J3403"/>
  <c r="J3404"/>
  <c r="J3405"/>
  <c r="J3406"/>
  <c r="J3407"/>
  <c r="J3408"/>
  <c r="J3410"/>
  <c r="J3411"/>
  <c r="J3412"/>
  <c r="J3413"/>
  <c r="J3415"/>
  <c r="J3416"/>
  <c r="J3417"/>
  <c r="J3418"/>
  <c r="J3420"/>
  <c r="J3421"/>
  <c r="J3422"/>
  <c r="J3423"/>
  <c r="J3428"/>
  <c r="J3429"/>
  <c r="J3430"/>
  <c r="J3431"/>
  <c r="I3432"/>
  <c r="J3432" s="1"/>
  <c r="J3436"/>
  <c r="J3437"/>
  <c r="J3438"/>
  <c r="J3444"/>
  <c r="J3445"/>
  <c r="J3446"/>
  <c r="J3447"/>
  <c r="J3451"/>
  <c r="J3452"/>
  <c r="J3453"/>
  <c r="J3454"/>
  <c r="J39" i="26"/>
  <c r="D11" i="33" s="1"/>
  <c r="F11" s="1"/>
  <c r="J37" i="26"/>
  <c r="D10" i="33" s="1"/>
  <c r="F10" s="1"/>
  <c r="J17" i="26"/>
  <c r="J16"/>
  <c r="J15"/>
  <c r="J10"/>
  <c r="J11" s="1"/>
  <c r="D7" i="33" s="1"/>
  <c r="F7" s="1"/>
  <c r="G3440" i="30" l="1"/>
  <c r="J3440" s="1"/>
  <c r="J3277"/>
  <c r="J3278" s="1"/>
  <c r="J3448"/>
  <c r="J3449" s="1"/>
  <c r="J3439"/>
  <c r="J3424"/>
  <c r="J3425" s="1"/>
  <c r="J3455"/>
  <c r="J3456" s="1"/>
  <c r="J3390"/>
  <c r="J3391" s="1"/>
  <c r="J3347"/>
  <c r="J3348" s="1"/>
  <c r="G3352" s="1"/>
  <c r="J3352" s="1"/>
  <c r="J3353" s="1"/>
  <c r="J3354" s="1"/>
  <c r="J3433"/>
  <c r="J3434" s="1"/>
  <c r="J3303"/>
  <c r="J3304" s="1"/>
  <c r="J3251"/>
  <c r="J3252" s="1"/>
  <c r="J3441" l="1"/>
  <c r="J3442" s="1"/>
  <c r="G1212" i="10"/>
  <c r="E297" i="9" s="1"/>
  <c r="J2250" i="30" l="1"/>
  <c r="J2239"/>
  <c r="J2238"/>
  <c r="J2237"/>
  <c r="J2234"/>
  <c r="J2233"/>
  <c r="J2232"/>
  <c r="F2231"/>
  <c r="J2231" s="1"/>
  <c r="J2229"/>
  <c r="J2228"/>
  <c r="J2227"/>
  <c r="F2226"/>
  <c r="J2226" s="1"/>
  <c r="J2224"/>
  <c r="J2223"/>
  <c r="J2222"/>
  <c r="J2221"/>
  <c r="E1200" i="10"/>
  <c r="G1200" s="1"/>
  <c r="E1195"/>
  <c r="G1195" s="1"/>
  <c r="J2240" i="30" l="1"/>
  <c r="J2241" s="1"/>
  <c r="B297" i="9" l="1"/>
  <c r="F297" s="1"/>
  <c r="A6" i="20" l="1"/>
  <c r="A7" s="1"/>
  <c r="A8" s="1"/>
  <c r="A9" s="1"/>
  <c r="A10" s="1"/>
  <c r="A11" s="1"/>
  <c r="A12" s="1"/>
  <c r="A13" s="1"/>
  <c r="A14" s="1"/>
  <c r="A17" s="1"/>
  <c r="A18" s="1"/>
  <c r="A19" s="1"/>
  <c r="A20" s="1"/>
  <c r="A21" s="1"/>
  <c r="A22" s="1"/>
  <c r="A23" s="1"/>
  <c r="A24" s="1"/>
  <c r="A25" s="1"/>
  <c r="A26" s="1"/>
  <c r="A27" s="1"/>
  <c r="A28" s="1"/>
  <c r="A31" s="1"/>
  <c r="A32" s="1"/>
  <c r="A33" s="1"/>
  <c r="A34" s="1"/>
  <c r="A35" s="1"/>
  <c r="A36" s="1"/>
  <c r="A37" s="1"/>
  <c r="A40" s="1"/>
  <c r="A41" s="1"/>
  <c r="A42" s="1"/>
  <c r="A43" s="1"/>
  <c r="A44" s="1"/>
  <c r="A45" s="1"/>
  <c r="A46" s="1"/>
  <c r="A47" s="1"/>
  <c r="A48" s="1"/>
  <c r="A49" s="1"/>
  <c r="A50" s="1"/>
  <c r="A51" s="1"/>
  <c r="A52" s="1"/>
  <c r="A53" s="1"/>
  <c r="A54" s="1"/>
  <c r="A55" s="1"/>
  <c r="A56" s="1"/>
  <c r="A57" s="1"/>
  <c r="A58" s="1"/>
  <c r="A59" s="1"/>
  <c r="A60" s="1"/>
  <c r="A61" s="1"/>
  <c r="A64" s="1"/>
  <c r="A65" s="1"/>
  <c r="A66" s="1"/>
  <c r="A67" s="1"/>
  <c r="A68" s="1"/>
  <c r="A69" s="1"/>
  <c r="A70" s="1"/>
  <c r="A71" s="1"/>
  <c r="A72" s="1"/>
  <c r="A73" s="1"/>
  <c r="A74" s="1"/>
  <c r="A75" s="1"/>
  <c r="A76" s="1"/>
  <c r="A77" s="1"/>
  <c r="A78" s="1"/>
  <c r="A79" s="1"/>
  <c r="A80" s="1"/>
  <c r="A83" s="1"/>
  <c r="A84" s="1"/>
  <c r="A85" s="1"/>
  <c r="A86" s="1"/>
  <c r="A87" s="1"/>
  <c r="A88" s="1"/>
  <c r="A91" s="1"/>
  <c r="A94" s="1"/>
  <c r="A95" s="1"/>
  <c r="A96" s="1"/>
  <c r="A97" s="1"/>
  <c r="A99" s="1"/>
  <c r="A100" s="1"/>
  <c r="A103" s="1"/>
  <c r="A104" s="1"/>
  <c r="A105" s="1"/>
  <c r="A106" s="1"/>
  <c r="A107" s="1"/>
  <c r="A108" s="1"/>
  <c r="D282" i="9" l="1"/>
  <c r="C282"/>
  <c r="B293" l="1"/>
  <c r="D291" l="1"/>
  <c r="C291"/>
  <c r="C290"/>
  <c r="D289"/>
  <c r="C289"/>
  <c r="C288"/>
  <c r="C287"/>
  <c r="D286"/>
  <c r="D285"/>
  <c r="C286"/>
  <c r="C285"/>
  <c r="C284"/>
  <c r="C283"/>
  <c r="C281"/>
  <c r="D281"/>
  <c r="C280"/>
  <c r="C279"/>
  <c r="D278"/>
  <c r="C278"/>
  <c r="C277"/>
  <c r="D276"/>
  <c r="C273"/>
  <c r="C272"/>
  <c r="C271"/>
  <c r="C270"/>
  <c r="J1298" i="30"/>
  <c r="J1296"/>
  <c r="J1294"/>
  <c r="J1297"/>
  <c r="J1295"/>
  <c r="J1293"/>
  <c r="J1316"/>
  <c r="J1315"/>
  <c r="J1123"/>
  <c r="J1122"/>
  <c r="J1121"/>
  <c r="J724"/>
  <c r="J723"/>
  <c r="J637"/>
  <c r="J636"/>
  <c r="J635"/>
  <c r="I579"/>
  <c r="J579" s="1"/>
  <c r="I578"/>
  <c r="J578" s="1"/>
  <c r="I577"/>
  <c r="J577" s="1"/>
  <c r="J536"/>
  <c r="J535"/>
  <c r="J534"/>
  <c r="J109"/>
  <c r="J108"/>
  <c r="J107"/>
  <c r="J464"/>
  <c r="J463"/>
  <c r="J462"/>
  <c r="J350"/>
  <c r="J349"/>
  <c r="J348"/>
  <c r="J167"/>
  <c r="J166"/>
  <c r="J165"/>
  <c r="J40"/>
  <c r="J39"/>
  <c r="J38"/>
  <c r="B291" i="9" l="1"/>
  <c r="B286"/>
  <c r="B285"/>
  <c r="B278"/>
  <c r="B276"/>
  <c r="B289"/>
  <c r="B281" l="1"/>
  <c r="J2213" i="30"/>
  <c r="J2212"/>
  <c r="J2211"/>
  <c r="J2209"/>
  <c r="J2208"/>
  <c r="J2207"/>
  <c r="G705" i="10"/>
  <c r="G711"/>
  <c r="G715"/>
  <c r="E703"/>
  <c r="G703" s="1"/>
  <c r="B161" i="9" l="1"/>
  <c r="B589" i="10" l="1"/>
  <c r="B588"/>
  <c r="B573"/>
  <c r="B574"/>
  <c r="E596"/>
  <c r="G596" s="1"/>
  <c r="E595"/>
  <c r="G595" s="1"/>
  <c r="E594"/>
  <c r="G594" s="1"/>
  <c r="E593"/>
  <c r="G593" s="1"/>
  <c r="E592"/>
  <c r="G592" s="1"/>
  <c r="E591"/>
  <c r="G591" s="1"/>
  <c r="E590"/>
  <c r="G590" s="1"/>
  <c r="E588"/>
  <c r="E581"/>
  <c r="G581" s="1"/>
  <c r="E580"/>
  <c r="G580" s="1"/>
  <c r="E579"/>
  <c r="G579" s="1"/>
  <c r="E578"/>
  <c r="G578" s="1"/>
  <c r="E577"/>
  <c r="G577" s="1"/>
  <c r="E576"/>
  <c r="G576" s="1"/>
  <c r="E575"/>
  <c r="G575" s="1"/>
  <c r="E574"/>
  <c r="E573"/>
  <c r="E566"/>
  <c r="G566" s="1"/>
  <c r="E565"/>
  <c r="G565" s="1"/>
  <c r="E564"/>
  <c r="G564" s="1"/>
  <c r="E563"/>
  <c r="G563" s="1"/>
  <c r="E562"/>
  <c r="G562" s="1"/>
  <c r="E561"/>
  <c r="G561" s="1"/>
  <c r="E560"/>
  <c r="G560" s="1"/>
  <c r="E558"/>
  <c r="E550"/>
  <c r="G550" s="1"/>
  <c r="G552"/>
  <c r="E548"/>
  <c r="G548" s="1"/>
  <c r="A50" i="13"/>
  <c r="A52" s="1"/>
  <c r="A54" s="1"/>
  <c r="A56" s="1"/>
  <c r="A57" s="1"/>
  <c r="A58" s="1"/>
  <c r="A59" s="1"/>
  <c r="A60" s="1"/>
  <c r="A61" s="1"/>
  <c r="E30" i="12"/>
  <c r="E29"/>
  <c r="E559" i="10" s="1"/>
  <c r="B559"/>
  <c r="B558"/>
  <c r="E589" l="1"/>
  <c r="G589" s="1"/>
  <c r="G573"/>
  <c r="G588"/>
  <c r="G574"/>
  <c r="G558"/>
  <c r="G559"/>
  <c r="G1975" i="30" l="1"/>
  <c r="G1973"/>
  <c r="G1972"/>
  <c r="G1971"/>
  <c r="G1970"/>
  <c r="G1968"/>
  <c r="G1969"/>
  <c r="G1967"/>
  <c r="J1975" l="1"/>
  <c r="J1973"/>
  <c r="J1972"/>
  <c r="J1971"/>
  <c r="J1970"/>
  <c r="J1969"/>
  <c r="J1968"/>
  <c r="J1967"/>
  <c r="J1871"/>
  <c r="J1861"/>
  <c r="J1794"/>
  <c r="J1870"/>
  <c r="J1880"/>
  <c r="J1860"/>
  <c r="J1793"/>
  <c r="J1879"/>
  <c r="J1869"/>
  <c r="J1976" l="1"/>
  <c r="J1977" s="1"/>
  <c r="J1859"/>
  <c r="J1878"/>
  <c r="J1877"/>
  <c r="J1876"/>
  <c r="J1875"/>
  <c r="J1868"/>
  <c r="J1867"/>
  <c r="J1866"/>
  <c r="J1865"/>
  <c r="J1858"/>
  <c r="J1857"/>
  <c r="J1856"/>
  <c r="J1855"/>
  <c r="J1854"/>
  <c r="J1853"/>
  <c r="J1852"/>
  <c r="J1791"/>
  <c r="J1993" l="1"/>
  <c r="J1988"/>
  <c r="J2821" l="1"/>
  <c r="J2820"/>
  <c r="J2819"/>
  <c r="J2818"/>
  <c r="J2816"/>
  <c r="J2815"/>
  <c r="J2814"/>
  <c r="J2813"/>
  <c r="J2657"/>
  <c r="J2656"/>
  <c r="J2655"/>
  <c r="J2654"/>
  <c r="J2650"/>
  <c r="G540" i="10" l="1"/>
  <c r="J465" i="30" l="1"/>
  <c r="J466"/>
  <c r="J467"/>
  <c r="J468"/>
  <c r="J2333" l="1"/>
  <c r="J2179"/>
  <c r="A1" l="1"/>
  <c r="J129" i="26" l="1"/>
  <c r="J128"/>
  <c r="J127"/>
  <c r="J103"/>
  <c r="J102"/>
  <c r="J101"/>
  <c r="J78"/>
  <c r="J77"/>
  <c r="J76"/>
  <c r="I2786" i="30" l="1"/>
  <c r="I2787"/>
  <c r="I2788"/>
  <c r="I2789"/>
  <c r="J2789" s="1"/>
  <c r="I2785"/>
  <c r="J2785" s="1"/>
  <c r="G2788"/>
  <c r="G2787"/>
  <c r="G2786"/>
  <c r="I2745"/>
  <c r="I2746"/>
  <c r="I2747"/>
  <c r="I2748"/>
  <c r="I2749"/>
  <c r="J2749" s="1"/>
  <c r="I2750"/>
  <c r="J2750" s="1"/>
  <c r="I2751"/>
  <c r="I2752"/>
  <c r="I2753"/>
  <c r="I2744"/>
  <c r="G2753"/>
  <c r="G2752"/>
  <c r="G2751"/>
  <c r="G2748"/>
  <c r="G2747"/>
  <c r="G2746"/>
  <c r="G2745"/>
  <c r="G2744"/>
  <c r="I2782"/>
  <c r="I2781"/>
  <c r="I2780"/>
  <c r="I2779"/>
  <c r="I2778"/>
  <c r="I2777"/>
  <c r="I2776"/>
  <c r="I2775"/>
  <c r="I2774"/>
  <c r="I2773"/>
  <c r="I2772"/>
  <c r="I2742"/>
  <c r="I2741"/>
  <c r="I2735"/>
  <c r="I2736"/>
  <c r="I2737"/>
  <c r="I2738"/>
  <c r="I2739"/>
  <c r="I2740"/>
  <c r="I2734"/>
  <c r="I2728"/>
  <c r="I2729"/>
  <c r="I2730"/>
  <c r="I2731"/>
  <c r="I2732"/>
  <c r="I2733"/>
  <c r="I2727"/>
  <c r="I2444"/>
  <c r="I2417"/>
  <c r="I2418"/>
  <c r="I2419"/>
  <c r="I2420"/>
  <c r="I2421"/>
  <c r="I2422"/>
  <c r="I2423"/>
  <c r="I2424"/>
  <c r="I2425"/>
  <c r="I2426"/>
  <c r="I2416"/>
  <c r="I2383"/>
  <c r="I2384"/>
  <c r="I2385"/>
  <c r="I2386"/>
  <c r="I2387"/>
  <c r="I2388"/>
  <c r="I2389"/>
  <c r="I2390"/>
  <c r="I2391"/>
  <c r="I2392"/>
  <c r="I2393"/>
  <c r="I2394"/>
  <c r="I2395"/>
  <c r="I2396"/>
  <c r="I2397"/>
  <c r="I2382"/>
  <c r="J2786" l="1"/>
  <c r="J2787"/>
  <c r="J2788"/>
  <c r="J2747"/>
  <c r="J2746"/>
  <c r="J2752"/>
  <c r="J2751"/>
  <c r="J2748"/>
  <c r="J2745"/>
  <c r="J2753"/>
  <c r="J2744"/>
  <c r="B1961" l="1"/>
  <c r="J1962"/>
  <c r="B101" i="9" s="1"/>
  <c r="J1950" i="30"/>
  <c r="B95" i="9" s="1"/>
  <c r="B1949" i="30"/>
  <c r="B1959"/>
  <c r="B1957"/>
  <c r="B1955"/>
  <c r="B1953"/>
  <c r="B1951"/>
  <c r="J1960"/>
  <c r="B100" i="9" s="1"/>
  <c r="J1958" i="30"/>
  <c r="B99" i="9" s="1"/>
  <c r="J1956" i="30"/>
  <c r="B98" i="9" s="1"/>
  <c r="J1954" i="30"/>
  <c r="B97" i="9" s="1"/>
  <c r="G496" i="10"/>
  <c r="G487"/>
  <c r="D479"/>
  <c r="G615" l="1"/>
  <c r="G2526" i="30" l="1"/>
  <c r="J2526" s="1"/>
  <c r="G2525"/>
  <c r="J2557"/>
  <c r="J2556"/>
  <c r="J2555"/>
  <c r="J2554"/>
  <c r="J2553"/>
  <c r="J2552"/>
  <c r="J2551"/>
  <c r="J2550"/>
  <c r="J2549"/>
  <c r="J2548"/>
  <c r="J2547"/>
  <c r="J2546"/>
  <c r="J2545"/>
  <c r="J2532"/>
  <c r="J2531"/>
  <c r="D2450"/>
  <c r="D2449"/>
  <c r="J2720"/>
  <c r="J2719"/>
  <c r="G2718"/>
  <c r="J2347"/>
  <c r="F2357"/>
  <c r="J2356"/>
  <c r="J2343"/>
  <c r="J2354"/>
  <c r="G2353"/>
  <c r="G2352"/>
  <c r="G2336"/>
  <c r="J2338"/>
  <c r="J2311"/>
  <c r="J2309"/>
  <c r="J2308"/>
  <c r="J2307"/>
  <c r="J2154"/>
  <c r="J2163"/>
  <c r="J2161"/>
  <c r="J3145" l="1"/>
  <c r="I2982" l="1"/>
  <c r="J2982" s="1"/>
  <c r="I2981"/>
  <c r="J2981" s="1"/>
  <c r="I3002"/>
  <c r="I3001"/>
  <c r="J1685" l="1"/>
  <c r="J1684"/>
  <c r="J1683"/>
  <c r="J1682"/>
  <c r="J1681"/>
  <c r="I584"/>
  <c r="J584" s="1"/>
  <c r="I596"/>
  <c r="I595"/>
  <c r="I589"/>
  <c r="I590"/>
  <c r="I586"/>
  <c r="G1688"/>
  <c r="I1687"/>
  <c r="J872"/>
  <c r="J871"/>
  <c r="J870"/>
  <c r="J869"/>
  <c r="J868"/>
  <c r="J867"/>
  <c r="F866"/>
  <c r="J866" s="1"/>
  <c r="J865"/>
  <c r="F864"/>
  <c r="J864" s="1"/>
  <c r="J863"/>
  <c r="F862"/>
  <c r="J862" s="1"/>
  <c r="J861"/>
  <c r="J860"/>
  <c r="J859"/>
  <c r="J858"/>
  <c r="J706"/>
  <c r="J705"/>
  <c r="J704"/>
  <c r="J703"/>
  <c r="J702"/>
  <c r="J701"/>
  <c r="J700"/>
  <c r="J699"/>
  <c r="F698"/>
  <c r="J698" s="1"/>
  <c r="J697"/>
  <c r="F696"/>
  <c r="J696" s="1"/>
  <c r="J695"/>
  <c r="F694"/>
  <c r="J694" s="1"/>
  <c r="J693"/>
  <c r="J692"/>
  <c r="J691"/>
  <c r="J690"/>
  <c r="J554"/>
  <c r="J553"/>
  <c r="J552"/>
  <c r="J551"/>
  <c r="J550"/>
  <c r="J549"/>
  <c r="J548"/>
  <c r="J547"/>
  <c r="F546"/>
  <c r="J545"/>
  <c r="F544"/>
  <c r="J544" s="1"/>
  <c r="J543"/>
  <c r="F542"/>
  <c r="J542" s="1"/>
  <c r="J541"/>
  <c r="J540"/>
  <c r="J539"/>
  <c r="J538"/>
  <c r="I559"/>
  <c r="I560"/>
  <c r="I561"/>
  <c r="I562"/>
  <c r="I563"/>
  <c r="I564"/>
  <c r="I565"/>
  <c r="I566"/>
  <c r="I567"/>
  <c r="I568"/>
  <c r="I569"/>
  <c r="I570"/>
  <c r="I571"/>
  <c r="I572"/>
  <c r="I573"/>
  <c r="I574"/>
  <c r="I575"/>
  <c r="J1048"/>
  <c r="J546" l="1"/>
  <c r="I1602" l="1"/>
  <c r="J1602" s="1"/>
  <c r="I1600"/>
  <c r="J1600" s="1"/>
  <c r="I1598"/>
  <c r="J1598" s="1"/>
  <c r="I1596"/>
  <c r="J1596" s="1"/>
  <c r="I1594"/>
  <c r="J1594" s="1"/>
  <c r="I1592"/>
  <c r="J1592" s="1"/>
  <c r="I1590"/>
  <c r="J1590" s="1"/>
  <c r="I1588"/>
  <c r="J1588" s="1"/>
  <c r="F1586"/>
  <c r="I1586"/>
  <c r="I1584"/>
  <c r="J1584" s="1"/>
  <c r="F1582"/>
  <c r="I1582"/>
  <c r="I1580"/>
  <c r="J1580" s="1"/>
  <c r="F1578"/>
  <c r="I1578"/>
  <c r="I1576"/>
  <c r="J1576" s="1"/>
  <c r="I1574"/>
  <c r="J1574" s="1"/>
  <c r="I1572"/>
  <c r="J1572" s="1"/>
  <c r="I1570"/>
  <c r="J1570" s="1"/>
  <c r="I1601"/>
  <c r="J1601" s="1"/>
  <c r="I1599"/>
  <c r="J1599" s="1"/>
  <c r="I1597"/>
  <c r="J1597" s="1"/>
  <c r="I1595"/>
  <c r="J1595" s="1"/>
  <c r="I1593"/>
  <c r="J1593" s="1"/>
  <c r="I1591"/>
  <c r="J1591" s="1"/>
  <c r="I1589"/>
  <c r="J1589" s="1"/>
  <c r="I1587"/>
  <c r="J1587" s="1"/>
  <c r="I1585"/>
  <c r="F1585"/>
  <c r="I1583"/>
  <c r="J1583" s="1"/>
  <c r="I1581"/>
  <c r="F1581"/>
  <c r="I1579"/>
  <c r="J1579" s="1"/>
  <c r="I1577"/>
  <c r="F1577"/>
  <c r="I1575"/>
  <c r="J1575" s="1"/>
  <c r="I1573"/>
  <c r="J1573" s="1"/>
  <c r="I1571"/>
  <c r="J1571" s="1"/>
  <c r="I1569"/>
  <c r="J1569" s="1"/>
  <c r="J1194"/>
  <c r="J1193"/>
  <c r="J1192"/>
  <c r="J1586" l="1"/>
  <c r="J1582"/>
  <c r="J1578"/>
  <c r="J1585"/>
  <c r="J1581"/>
  <c r="J1577"/>
  <c r="J418" l="1"/>
  <c r="J417"/>
  <c r="J416"/>
  <c r="J235"/>
  <c r="J234"/>
  <c r="J233"/>
  <c r="G237"/>
  <c r="H237"/>
  <c r="J238"/>
  <c r="J239"/>
  <c r="J240"/>
  <c r="J242"/>
  <c r="J243"/>
  <c r="J244"/>
  <c r="J237" l="1"/>
  <c r="A5" i="12" l="1"/>
  <c r="A6" s="1"/>
  <c r="A7" s="1"/>
  <c r="A8" s="1"/>
  <c r="A9" s="1"/>
  <c r="A10" s="1"/>
  <c r="A11" s="1"/>
  <c r="A12" s="1"/>
  <c r="A13" s="1"/>
  <c r="A14" s="1"/>
  <c r="A15" s="1"/>
  <c r="A16" s="1"/>
  <c r="A17" s="1"/>
  <c r="A18" s="1"/>
  <c r="A19" s="1"/>
  <c r="A20" s="1"/>
  <c r="A21" s="1"/>
  <c r="A22" s="1"/>
  <c r="A23" s="1"/>
  <c r="A24" s="1"/>
  <c r="A25" s="1"/>
  <c r="A26" s="1"/>
  <c r="A27" s="1"/>
  <c r="A28" s="1"/>
  <c r="J3223" i="30" l="1"/>
  <c r="J3222"/>
  <c r="J3215"/>
  <c r="J3214"/>
  <c r="J3213"/>
  <c r="J3212"/>
  <c r="J3207"/>
  <c r="J3206"/>
  <c r="J3199"/>
  <c r="J3198"/>
  <c r="J3197"/>
  <c r="J3196"/>
  <c r="J3188"/>
  <c r="J3187"/>
  <c r="J3186"/>
  <c r="J3185"/>
  <c r="J3133"/>
  <c r="J3134" s="1"/>
  <c r="J3128"/>
  <c r="J3129" s="1"/>
  <c r="J3130" s="1"/>
  <c r="J3124"/>
  <c r="J3111"/>
  <c r="H2937"/>
  <c r="G2937"/>
  <c r="G2376"/>
  <c r="J1948"/>
  <c r="J1946"/>
  <c r="J1944"/>
  <c r="J1942"/>
  <c r="J267"/>
  <c r="J266"/>
  <c r="G264"/>
  <c r="J264" s="1"/>
  <c r="G263"/>
  <c r="J263" s="1"/>
  <c r="H262"/>
  <c r="G262"/>
  <c r="J261"/>
  <c r="J260"/>
  <c r="J259"/>
  <c r="J258"/>
  <c r="J257"/>
  <c r="G256"/>
  <c r="J256" s="1"/>
  <c r="J255"/>
  <c r="J254"/>
  <c r="J253"/>
  <c r="J252"/>
  <c r="J251"/>
  <c r="J250"/>
  <c r="J249"/>
  <c r="J248"/>
  <c r="J247"/>
  <c r="J246"/>
  <c r="J245"/>
  <c r="J3224" l="1"/>
  <c r="J3225" s="1"/>
  <c r="J3208"/>
  <c r="J3209" s="1"/>
  <c r="J262"/>
  <c r="D239" i="10" l="1"/>
  <c r="K80" i="24" l="1"/>
  <c r="E1027" i="10" s="1"/>
  <c r="G1027" s="1"/>
  <c r="E231" i="9" s="1"/>
  <c r="J80" i="24"/>
  <c r="H80"/>
  <c r="F80"/>
  <c r="K79"/>
  <c r="E1190" i="10" s="1"/>
  <c r="G1190" s="1"/>
  <c r="E267" i="9" s="1"/>
  <c r="J79" i="24"/>
  <c r="H79"/>
  <c r="F79"/>
  <c r="K78"/>
  <c r="E240" i="10" s="1"/>
  <c r="G240" s="1"/>
  <c r="E48" i="9" s="1"/>
  <c r="J78" i="24"/>
  <c r="H78"/>
  <c r="F78"/>
  <c r="E1097" i="10"/>
  <c r="G1097" s="1"/>
  <c r="G1098" s="1"/>
  <c r="E1099" s="1"/>
  <c r="G1099" s="1"/>
  <c r="G1100" s="1"/>
  <c r="E1164"/>
  <c r="G1164" s="1"/>
  <c r="E1163"/>
  <c r="G1163" s="1"/>
  <c r="E1162"/>
  <c r="G1162" s="1"/>
  <c r="H23" i="11"/>
  <c r="H24"/>
  <c r="H25"/>
  <c r="H26"/>
  <c r="H27"/>
  <c r="H28"/>
  <c r="H29"/>
  <c r="H30"/>
  <c r="H31"/>
  <c r="H32"/>
  <c r="H33"/>
  <c r="H34"/>
  <c r="H35"/>
  <c r="H36"/>
  <c r="H37"/>
  <c r="H38"/>
  <c r="H22"/>
  <c r="D1189" i="10"/>
  <c r="D1177"/>
  <c r="D1112"/>
  <c r="D1095"/>
  <c r="D1094"/>
  <c r="G1179"/>
  <c r="G1171"/>
  <c r="G1153"/>
  <c r="G1152"/>
  <c r="E1157" s="1"/>
  <c r="G1157" s="1"/>
  <c r="E1149"/>
  <c r="G1149" s="1"/>
  <c r="G1148"/>
  <c r="E1145"/>
  <c r="G1145" s="1"/>
  <c r="G1144"/>
  <c r="E1141"/>
  <c r="B1141"/>
  <c r="G1140"/>
  <c r="G1137"/>
  <c r="G1136"/>
  <c r="E1107"/>
  <c r="B1107"/>
  <c r="G1106"/>
  <c r="B1103"/>
  <c r="G1103" s="1"/>
  <c r="G1102"/>
  <c r="G1095"/>
  <c r="E828"/>
  <c r="G828" s="1"/>
  <c r="E826"/>
  <c r="B826"/>
  <c r="D838"/>
  <c r="G1138" l="1"/>
  <c r="G1139" s="1"/>
  <c r="E1104"/>
  <c r="G1104" s="1"/>
  <c r="G1107"/>
  <c r="G1109" s="1"/>
  <c r="G1141"/>
  <c r="G1142" s="1"/>
  <c r="G1143" s="1"/>
  <c r="E1155" s="1"/>
  <c r="G1155" s="1"/>
  <c r="G1146"/>
  <c r="G1147" s="1"/>
  <c r="E1156" s="1"/>
  <c r="G1156" s="1"/>
  <c r="G1150"/>
  <c r="G1151" s="1"/>
  <c r="E1158" s="1"/>
  <c r="G1158" s="1"/>
  <c r="G1165"/>
  <c r="G1166" s="1"/>
  <c r="G826"/>
  <c r="G1108" l="1"/>
  <c r="G1110"/>
  <c r="E264" i="9" s="1"/>
  <c r="G1159" i="10"/>
  <c r="G1160" s="1"/>
  <c r="E1172" s="1"/>
  <c r="G1172" s="1"/>
  <c r="E1173"/>
  <c r="G1173" s="1"/>
  <c r="G692" l="1"/>
  <c r="E685"/>
  <c r="G685" s="1"/>
  <c r="G453" l="1"/>
  <c r="B173" l="1"/>
  <c r="I38" i="11"/>
  <c r="I37"/>
  <c r="E1130" i="10" s="1"/>
  <c r="G1130" s="1"/>
  <c r="I36" i="11"/>
  <c r="E1129" i="10" s="1"/>
  <c r="G1129" s="1"/>
  <c r="I35" i="11"/>
  <c r="E1128" i="10" s="1"/>
  <c r="G1128" s="1"/>
  <c r="I34" i="11"/>
  <c r="E1127" i="10" s="1"/>
  <c r="G1127" s="1"/>
  <c r="I33" i="11"/>
  <c r="E1126" i="10" s="1"/>
  <c r="G1126" s="1"/>
  <c r="I32" i="11"/>
  <c r="E1125" i="10" s="1"/>
  <c r="G1125" s="1"/>
  <c r="I31" i="11"/>
  <c r="I30"/>
  <c r="E1119" i="10" s="1"/>
  <c r="G1119" s="1"/>
  <c r="I29" i="11"/>
  <c r="E1118" i="10" s="1"/>
  <c r="G1118" s="1"/>
  <c r="I28" i="11"/>
  <c r="E1117" i="10" s="1"/>
  <c r="G1117" s="1"/>
  <c r="I27" i="11"/>
  <c r="E1116" i="10" s="1"/>
  <c r="G1116" s="1"/>
  <c r="I26" i="11"/>
  <c r="E1115" i="10" s="1"/>
  <c r="G1115" s="1"/>
  <c r="I25" i="11"/>
  <c r="E1114" i="10" s="1"/>
  <c r="G1114" s="1"/>
  <c r="I24" i="11"/>
  <c r="I23"/>
  <c r="A23"/>
  <c r="A24" s="1"/>
  <c r="A25" s="1"/>
  <c r="A26" s="1"/>
  <c r="A27" s="1"/>
  <c r="A28" s="1"/>
  <c r="A29" s="1"/>
  <c r="A30" s="1"/>
  <c r="A31" s="1"/>
  <c r="A32" s="1"/>
  <c r="A33" s="1"/>
  <c r="A34" s="1"/>
  <c r="A35" s="1"/>
  <c r="A36" s="1"/>
  <c r="A37" s="1"/>
  <c r="A38" s="1"/>
  <c r="E27" i="12"/>
  <c r="E84" i="10" s="1"/>
  <c r="E26" i="12"/>
  <c r="E74" i="10" s="1"/>
  <c r="G74" s="1"/>
  <c r="E25" i="12"/>
  <c r="E64" i="10" s="1"/>
  <c r="E65" s="1"/>
  <c r="E91" l="1"/>
  <c r="G91" s="1"/>
  <c r="E1124"/>
  <c r="G1124" s="1"/>
  <c r="E1120"/>
  <c r="G1120" s="1"/>
  <c r="G1121" s="1"/>
  <c r="G1122" s="1"/>
  <c r="E1170"/>
  <c r="G1170" s="1"/>
  <c r="E99"/>
  <c r="G99" s="1"/>
  <c r="E107"/>
  <c r="G107" s="1"/>
  <c r="E1168" l="1"/>
  <c r="G1168" s="1"/>
  <c r="J3163" i="30"/>
  <c r="J3164"/>
  <c r="J3165"/>
  <c r="J3166"/>
  <c r="B3158"/>
  <c r="B3157"/>
  <c r="B3156"/>
  <c r="B3132"/>
  <c r="B3131"/>
  <c r="B3127"/>
  <c r="B3126"/>
  <c r="B3125"/>
  <c r="J3075" l="1"/>
  <c r="J3076"/>
  <c r="J3077"/>
  <c r="J3078"/>
  <c r="G3074"/>
  <c r="J3074" s="1"/>
  <c r="B3123" l="1"/>
  <c r="B3112" l="1"/>
  <c r="B3095"/>
  <c r="B3093"/>
  <c r="B3087"/>
  <c r="B3082"/>
  <c r="B3081"/>
  <c r="B3057"/>
  <c r="B3056"/>
  <c r="B3055"/>
  <c r="B3054"/>
  <c r="B3053"/>
  <c r="B3052"/>
  <c r="B3051"/>
  <c r="B3043"/>
  <c r="B3042"/>
  <c r="B3041"/>
  <c r="B3040"/>
  <c r="B3039"/>
  <c r="B3034"/>
  <c r="B3033"/>
  <c r="B3032"/>
  <c r="B3031"/>
  <c r="B3030"/>
  <c r="B2724" l="1"/>
  <c r="I2718"/>
  <c r="B2667"/>
  <c r="B2603"/>
  <c r="I2453"/>
  <c r="I2446"/>
  <c r="I2445"/>
  <c r="B2457"/>
  <c r="B2380"/>
  <c r="B2379"/>
  <c r="G2341"/>
  <c r="B2327"/>
  <c r="G2292"/>
  <c r="J2292" s="1"/>
  <c r="B2257"/>
  <c r="B2056"/>
  <c r="J2718" l="1"/>
  <c r="B2048"/>
  <c r="B2008"/>
  <c r="B1945"/>
  <c r="B1943"/>
  <c r="B1941"/>
  <c r="B1947"/>
  <c r="B1997" l="1"/>
  <c r="B1996"/>
  <c r="B1995"/>
  <c r="J1844" l="1"/>
  <c r="J1547" l="1"/>
  <c r="J1546"/>
  <c r="J1545"/>
  <c r="J1015"/>
  <c r="J1014"/>
  <c r="J1013"/>
  <c r="G2717"/>
  <c r="J2717" s="1"/>
  <c r="G2716"/>
  <c r="G2370"/>
  <c r="G2372"/>
  <c r="J2372" s="1"/>
  <c r="G2371"/>
  <c r="J2371" s="1"/>
  <c r="J2346" l="1"/>
  <c r="J2341"/>
  <c r="H3218"/>
  <c r="J3218" s="1"/>
  <c r="H3217"/>
  <c r="J3217" s="1"/>
  <c r="H3216"/>
  <c r="J3216" s="1"/>
  <c r="H3211"/>
  <c r="J3211" s="1"/>
  <c r="H3202"/>
  <c r="J3202" s="1"/>
  <c r="H3201"/>
  <c r="J3201" s="1"/>
  <c r="H3200"/>
  <c r="J3200" s="1"/>
  <c r="H3195"/>
  <c r="J3195" s="1"/>
  <c r="H3191"/>
  <c r="J3191" s="1"/>
  <c r="H3190"/>
  <c r="J3190" s="1"/>
  <c r="H3189"/>
  <c r="J3189" s="1"/>
  <c r="H3184"/>
  <c r="J3184" s="1"/>
  <c r="H3180"/>
  <c r="J3180" s="1"/>
  <c r="H3179"/>
  <c r="J3179" s="1"/>
  <c r="H3178"/>
  <c r="J3178" s="1"/>
  <c r="J3177"/>
  <c r="J3176"/>
  <c r="J3175"/>
  <c r="J3174"/>
  <c r="H3173"/>
  <c r="J3173" s="1"/>
  <c r="H3169"/>
  <c r="J3169" s="1"/>
  <c r="H3168"/>
  <c r="J3168" s="1"/>
  <c r="H3167"/>
  <c r="J3167" s="1"/>
  <c r="H3162"/>
  <c r="J3162" s="1"/>
  <c r="J3170" l="1"/>
  <c r="J3171" s="1"/>
  <c r="B263" i="9" s="1"/>
  <c r="J3219" i="30"/>
  <c r="J3220" s="1"/>
  <c r="B266" i="9" s="1"/>
  <c r="J3181" i="30"/>
  <c r="J3182" s="1"/>
  <c r="B264" i="9" s="1"/>
  <c r="F264" s="1"/>
  <c r="J3192" i="30"/>
  <c r="J3193" s="1"/>
  <c r="B265" i="9" s="1"/>
  <c r="J3203" i="30"/>
  <c r="J3204" s="1"/>
  <c r="B267" i="9"/>
  <c r="F267" s="1"/>
  <c r="J1700" i="30" l="1"/>
  <c r="J1699"/>
  <c r="J596"/>
  <c r="J595"/>
  <c r="J1715"/>
  <c r="J1714"/>
  <c r="J1713"/>
  <c r="J1712"/>
  <c r="J1711"/>
  <c r="J1710"/>
  <c r="J1709"/>
  <c r="J1708"/>
  <c r="G1707"/>
  <c r="J1707" s="1"/>
  <c r="G1706"/>
  <c r="J1706" s="1"/>
  <c r="J1321"/>
  <c r="J1320"/>
  <c r="J1319"/>
  <c r="J1318"/>
  <c r="B48" i="9"/>
  <c r="F48" s="1"/>
  <c r="B1047" i="30"/>
  <c r="J1716" l="1"/>
  <c r="J121"/>
  <c r="J133"/>
  <c r="J130"/>
  <c r="B132"/>
  <c r="B129"/>
  <c r="B8"/>
  <c r="B119"/>
  <c r="J131" l="1"/>
  <c r="B15" i="9" s="1"/>
  <c r="J134" i="30"/>
  <c r="B17" i="9" s="1"/>
  <c r="I2592" i="30"/>
  <c r="J2592" s="1"/>
  <c r="J2895"/>
  <c r="J2894"/>
  <c r="J593"/>
  <c r="G592"/>
  <c r="J592" s="1"/>
  <c r="J1697"/>
  <c r="J1696"/>
  <c r="J1691"/>
  <c r="J1690"/>
  <c r="J2252"/>
  <c r="J2253"/>
  <c r="J2254"/>
  <c r="J2185"/>
  <c r="J2149"/>
  <c r="J2591"/>
  <c r="G2590"/>
  <c r="J2590" s="1"/>
  <c r="H2596"/>
  <c r="J2596" s="1"/>
  <c r="H2597"/>
  <c r="J2597" s="1"/>
  <c r="H2598"/>
  <c r="J2598" s="1"/>
  <c r="H2599"/>
  <c r="J2599" s="1"/>
  <c r="H2595"/>
  <c r="G2595"/>
  <c r="G2588"/>
  <c r="J2588" s="1"/>
  <c r="G2453"/>
  <c r="J2452"/>
  <c r="J2587"/>
  <c r="G2586"/>
  <c r="J2586" s="1"/>
  <c r="D2584"/>
  <c r="J2584" s="1"/>
  <c r="D2583"/>
  <c r="J2583" s="1"/>
  <c r="D2582"/>
  <c r="J2582" s="1"/>
  <c r="I2580"/>
  <c r="G2580"/>
  <c r="I2579"/>
  <c r="G2579"/>
  <c r="G1646"/>
  <c r="G146"/>
  <c r="G19"/>
  <c r="G2563"/>
  <c r="J2450"/>
  <c r="J2449"/>
  <c r="D2448"/>
  <c r="J2448" s="1"/>
  <c r="G2446"/>
  <c r="G2445"/>
  <c r="J2635"/>
  <c r="J2621"/>
  <c r="D1801"/>
  <c r="J1801" s="1"/>
  <c r="D1800"/>
  <c r="J1800" s="1"/>
  <c r="D1799"/>
  <c r="J1799" s="1"/>
  <c r="J1797"/>
  <c r="G1796"/>
  <c r="J1796" s="1"/>
  <c r="G1795"/>
  <c r="J1795" s="1"/>
  <c r="G1658"/>
  <c r="J1658" s="1"/>
  <c r="G1657"/>
  <c r="J1657" s="1"/>
  <c r="B282" i="9" l="1"/>
  <c r="J2595" i="30"/>
  <c r="J2453"/>
  <c r="J2580"/>
  <c r="J2579"/>
  <c r="J2445"/>
  <c r="J2446"/>
  <c r="J1358"/>
  <c r="H1317"/>
  <c r="G1317"/>
  <c r="G1128"/>
  <c r="J1128" s="1"/>
  <c r="G1127"/>
  <c r="J1127" s="1"/>
  <c r="J1126"/>
  <c r="G1125"/>
  <c r="J1125" s="1"/>
  <c r="J2004"/>
  <c r="J2006"/>
  <c r="J2000"/>
  <c r="J1317" l="1"/>
  <c r="J2001"/>
  <c r="B117" i="9" s="1"/>
  <c r="J2007" i="30"/>
  <c r="B118" i="9" s="1"/>
  <c r="J587" i="30" l="1"/>
  <c r="J586"/>
  <c r="J415"/>
  <c r="J414"/>
  <c r="B426"/>
  <c r="J423"/>
  <c r="J231"/>
  <c r="J230"/>
  <c r="B12" i="9"/>
  <c r="I115" i="30"/>
  <c r="I114"/>
  <c r="J116"/>
  <c r="J105"/>
  <c r="J104"/>
  <c r="J1006"/>
  <c r="J1005"/>
  <c r="I992"/>
  <c r="J992" s="1"/>
  <c r="I990"/>
  <c r="J990" s="1"/>
  <c r="J989"/>
  <c r="J779"/>
  <c r="J778"/>
  <c r="J777"/>
  <c r="J776"/>
  <c r="G775"/>
  <c r="J775" s="1"/>
  <c r="G770"/>
  <c r="J770" s="1"/>
  <c r="G769"/>
  <c r="J769" s="1"/>
  <c r="J759"/>
  <c r="J609"/>
  <c r="J608"/>
  <c r="J607"/>
  <c r="J606"/>
  <c r="J688"/>
  <c r="J590"/>
  <c r="J589"/>
  <c r="J422"/>
  <c r="J421"/>
  <c r="H420"/>
  <c r="G420"/>
  <c r="J298"/>
  <c r="J297"/>
  <c r="J125"/>
  <c r="J124"/>
  <c r="H115"/>
  <c r="G115"/>
  <c r="H114"/>
  <c r="G114"/>
  <c r="H113"/>
  <c r="G113"/>
  <c r="J2100"/>
  <c r="J2099"/>
  <c r="J2098"/>
  <c r="B274" i="9" l="1"/>
  <c r="J780" i="30"/>
  <c r="J126"/>
  <c r="J420"/>
  <c r="J115"/>
  <c r="J113"/>
  <c r="J114"/>
  <c r="J610" l="1"/>
  <c r="J611" s="1"/>
  <c r="J117"/>
  <c r="J118" s="1"/>
  <c r="B10" i="9" s="1"/>
  <c r="J2097" i="30" l="1"/>
  <c r="J118" i="26" l="1"/>
  <c r="J117"/>
  <c r="J116"/>
  <c r="J115"/>
  <c r="J114"/>
  <c r="J113"/>
  <c r="J112"/>
  <c r="J111"/>
  <c r="J110"/>
  <c r="J109"/>
  <c r="J108"/>
  <c r="J107"/>
  <c r="J106"/>
  <c r="J99"/>
  <c r="J98"/>
  <c r="J97"/>
  <c r="J123"/>
  <c r="J124"/>
  <c r="J125"/>
  <c r="J131"/>
  <c r="J132"/>
  <c r="J133"/>
  <c r="J134"/>
  <c r="J135"/>
  <c r="J136"/>
  <c r="J137"/>
  <c r="J138"/>
  <c r="J139"/>
  <c r="J140"/>
  <c r="J141"/>
  <c r="J142"/>
  <c r="J143"/>
  <c r="J93"/>
  <c r="J92"/>
  <c r="J91"/>
  <c r="J90"/>
  <c r="J89"/>
  <c r="J88"/>
  <c r="J87"/>
  <c r="J86"/>
  <c r="J85"/>
  <c r="J84"/>
  <c r="J83"/>
  <c r="J82"/>
  <c r="J81"/>
  <c r="J74"/>
  <c r="J73"/>
  <c r="J72"/>
  <c r="J57"/>
  <c r="J58"/>
  <c r="J59"/>
  <c r="J60"/>
  <c r="J61"/>
  <c r="J62"/>
  <c r="J63"/>
  <c r="J64"/>
  <c r="J65"/>
  <c r="J66"/>
  <c r="J67"/>
  <c r="J68"/>
  <c r="J21"/>
  <c r="J22"/>
  <c r="J23"/>
  <c r="J24"/>
  <c r="J25"/>
  <c r="J26"/>
  <c r="J27"/>
  <c r="J94" l="1"/>
  <c r="D9" i="34" s="1"/>
  <c r="F9" s="1"/>
  <c r="J3120" i="30"/>
  <c r="J3119"/>
  <c r="J3118"/>
  <c r="G3116"/>
  <c r="J3116" s="1"/>
  <c r="G3115"/>
  <c r="J3115" s="1"/>
  <c r="G3114"/>
  <c r="J3114" s="1"/>
  <c r="J3121" l="1"/>
  <c r="J3122" s="1"/>
  <c r="B244" i="9" s="1"/>
  <c r="B245" l="1"/>
  <c r="B243"/>
  <c r="B3110" i="30"/>
  <c r="B3102"/>
  <c r="B3101"/>
  <c r="I3107"/>
  <c r="J3107" s="1"/>
  <c r="F3106"/>
  <c r="J3106" s="1"/>
  <c r="J3105"/>
  <c r="J3104"/>
  <c r="J3090"/>
  <c r="B238" i="9"/>
  <c r="J3089" i="30"/>
  <c r="J3088"/>
  <c r="J3084"/>
  <c r="J3083"/>
  <c r="D1026" i="10"/>
  <c r="J3091" i="30" l="1"/>
  <c r="J3092" s="1"/>
  <c r="B236" i="9" s="1"/>
  <c r="J3108" i="30"/>
  <c r="J3109" s="1"/>
  <c r="B242" i="9" s="1"/>
  <c r="J3085" i="30"/>
  <c r="J3086" s="1"/>
  <c r="J3047"/>
  <c r="J3046"/>
  <c r="J3045"/>
  <c r="J3002"/>
  <c r="J3001"/>
  <c r="J2984" l="1"/>
  <c r="J2937"/>
  <c r="J2983"/>
  <c r="J3072"/>
  <c r="J3071"/>
  <c r="J3070"/>
  <c r="J3069"/>
  <c r="J3068"/>
  <c r="B3066"/>
  <c r="G2990"/>
  <c r="J2990" s="1"/>
  <c r="J3063"/>
  <c r="J3079" l="1"/>
  <c r="J3080" s="1"/>
  <c r="B231" i="9" s="1"/>
  <c r="B3019" i="30"/>
  <c r="B212" i="9"/>
  <c r="B3016" i="30"/>
  <c r="B3006"/>
  <c r="B2998"/>
  <c r="B2997"/>
  <c r="B2996"/>
  <c r="B2995"/>
  <c r="B2994"/>
  <c r="B2993"/>
  <c r="B2947"/>
  <c r="B2946"/>
  <c r="B2945"/>
  <c r="B2944"/>
  <c r="B2943"/>
  <c r="B2942"/>
  <c r="B2941"/>
  <c r="B2909"/>
  <c r="B2908"/>
  <c r="B2907"/>
  <c r="B2906"/>
  <c r="B2905"/>
  <c r="B2903"/>
  <c r="B2904"/>
  <c r="B2901"/>
  <c r="B2899"/>
  <c r="B2835"/>
  <c r="B2809"/>
  <c r="B2725"/>
  <c r="J2902"/>
  <c r="B188" i="9" s="1"/>
  <c r="J2291" i="30"/>
  <c r="J2283"/>
  <c r="B2088" l="1"/>
  <c r="B2072"/>
  <c r="B2067"/>
  <c r="B2057"/>
  <c r="J2084"/>
  <c r="J2083"/>
  <c r="J2082"/>
  <c r="J2081"/>
  <c r="J2077"/>
  <c r="J2076"/>
  <c r="J2075"/>
  <c r="J2074"/>
  <c r="G2069"/>
  <c r="J2069" s="1"/>
  <c r="G2068"/>
  <c r="J2085" l="1"/>
  <c r="J2086" s="1"/>
  <c r="J2078"/>
  <c r="J2079" s="1"/>
  <c r="J2087" l="1"/>
  <c r="B132" i="9" s="1"/>
  <c r="J2064" i="30" l="1"/>
  <c r="J2062"/>
  <c r="J2063"/>
  <c r="D1080" i="10" l="1"/>
  <c r="B2369" i="30" l="1"/>
  <c r="B2375"/>
  <c r="J2370"/>
  <c r="J2382"/>
  <c r="B2362"/>
  <c r="B2361"/>
  <c r="B2328"/>
  <c r="B2305"/>
  <c r="B2303"/>
  <c r="B2301"/>
  <c r="B2258"/>
  <c r="J2304"/>
  <c r="B167" i="9" s="1"/>
  <c r="J2302" i="30"/>
  <c r="B166" i="9" s="1"/>
  <c r="J2373" i="30" l="1"/>
  <c r="J2374" s="1"/>
  <c r="B174" i="9" s="1"/>
  <c r="B2249" i="30" l="1"/>
  <c r="B2242"/>
  <c r="B2219"/>
  <c r="B2217"/>
  <c r="B2202"/>
  <c r="B2194"/>
  <c r="B2131"/>
  <c r="B2174"/>
  <c r="B2127"/>
  <c r="B2116"/>
  <c r="B2117"/>
  <c r="B2118"/>
  <c r="B2119"/>
  <c r="B2120"/>
  <c r="B2121"/>
  <c r="B2122"/>
  <c r="B2123"/>
  <c r="B2124"/>
  <c r="B2115"/>
  <c r="B2114"/>
  <c r="B2107"/>
  <c r="B2106"/>
  <c r="B2105"/>
  <c r="B2104"/>
  <c r="B2251"/>
  <c r="J2218"/>
  <c r="B158" i="9" s="1"/>
  <c r="J2255" i="30" l="1"/>
  <c r="J2256" s="1"/>
  <c r="B162" i="9" s="1"/>
  <c r="J2187" i="30" l="1"/>
  <c r="J2186"/>
  <c r="J2184"/>
  <c r="J2183"/>
  <c r="J2182"/>
  <c r="J2181"/>
  <c r="J2177"/>
  <c r="J2144" l="1"/>
  <c r="J2128"/>
  <c r="J2125"/>
  <c r="J2110"/>
  <c r="J2031" l="1"/>
  <c r="J2019"/>
  <c r="J2028" l="1"/>
  <c r="J2037"/>
  <c r="J2038" s="1"/>
  <c r="J1991"/>
  <c r="J1994" s="1"/>
  <c r="J1980"/>
  <c r="J1979"/>
  <c r="B107" i="9" s="1"/>
  <c r="B105"/>
  <c r="B94"/>
  <c r="B93"/>
  <c r="B92"/>
  <c r="B91"/>
  <c r="B1938" i="30"/>
  <c r="B1936"/>
  <c r="B1934"/>
  <c r="B1932"/>
  <c r="B1930"/>
  <c r="J1939"/>
  <c r="B89" i="9" s="1"/>
  <c r="J1937" i="30"/>
  <c r="B88" i="9" s="1"/>
  <c r="J1935" i="30"/>
  <c r="B87" i="9" s="1"/>
  <c r="J1933" i="30"/>
  <c r="B86" i="9" s="1"/>
  <c r="J1931" i="30"/>
  <c r="B85" i="9" s="1"/>
  <c r="J1928" i="30"/>
  <c r="B83" i="9" s="1"/>
  <c r="B1927" i="30"/>
  <c r="G1885"/>
  <c r="G1884"/>
  <c r="G1883"/>
  <c r="B1754"/>
  <c r="J1755"/>
  <c r="B64" i="9" s="1"/>
  <c r="J1719" i="30"/>
  <c r="B58" i="9" s="1"/>
  <c r="B113" l="1"/>
  <c r="B124"/>
  <c r="F2092" i="30"/>
  <c r="J2092" s="1"/>
  <c r="B108" i="9"/>
  <c r="J1046" i="30"/>
  <c r="B47" i="9" s="1"/>
  <c r="B987" i="30"/>
  <c r="B1981" l="1"/>
  <c r="B1980"/>
  <c r="B1979"/>
  <c r="B1978"/>
  <c r="B1965"/>
  <c r="B1964"/>
  <c r="B1940"/>
  <c r="B1929"/>
  <c r="B1891"/>
  <c r="B1762"/>
  <c r="A1723"/>
  <c r="B1723"/>
  <c r="B1724"/>
  <c r="B1722"/>
  <c r="B1721"/>
  <c r="B1718"/>
  <c r="B1704"/>
  <c r="B1677"/>
  <c r="B1567"/>
  <c r="B1198"/>
  <c r="B1067"/>
  <c r="B1066"/>
  <c r="B1049"/>
  <c r="B1045"/>
  <c r="B1044"/>
  <c r="B963"/>
  <c r="B923"/>
  <c r="B792"/>
  <c r="B616"/>
  <c r="B433"/>
  <c r="B432"/>
  <c r="B431"/>
  <c r="B319"/>
  <c r="B318"/>
  <c r="B313"/>
  <c r="B312"/>
  <c r="B311"/>
  <c r="B310"/>
  <c r="B302"/>
  <c r="B271"/>
  <c r="B136"/>
  <c r="B135"/>
  <c r="B9"/>
  <c r="B7"/>
  <c r="B6"/>
  <c r="B5"/>
  <c r="B4"/>
  <c r="J3159"/>
  <c r="B255" i="9" s="1"/>
  <c r="J3157" i="30"/>
  <c r="B254" i="9" s="1"/>
  <c r="J3152" i="30"/>
  <c r="J3151"/>
  <c r="J3150"/>
  <c r="J3149"/>
  <c r="J3148"/>
  <c r="J3144"/>
  <c r="J3143"/>
  <c r="J3142"/>
  <c r="J3141"/>
  <c r="J3140"/>
  <c r="J3139"/>
  <c r="J3138"/>
  <c r="J3137"/>
  <c r="J3136"/>
  <c r="B251" i="9"/>
  <c r="B249"/>
  <c r="J3098" i="30"/>
  <c r="J3097"/>
  <c r="J2989"/>
  <c r="J2988"/>
  <c r="J2987"/>
  <c r="J2986"/>
  <c r="J3062"/>
  <c r="J3061"/>
  <c r="J3060"/>
  <c r="J3059"/>
  <c r="J3044"/>
  <c r="J3048" s="1"/>
  <c r="J3049" s="1"/>
  <c r="B223" i="9" s="1"/>
  <c r="J3035" i="30"/>
  <c r="J3036" s="1"/>
  <c r="J3037" s="1"/>
  <c r="B218" i="9" s="1"/>
  <c r="J3026" i="30"/>
  <c r="J3025"/>
  <c r="J3024"/>
  <c r="J3023"/>
  <c r="J3022"/>
  <c r="J3012"/>
  <c r="J3011"/>
  <c r="G3010"/>
  <c r="J3010" s="1"/>
  <c r="J3009"/>
  <c r="G3000"/>
  <c r="J3000" s="1"/>
  <c r="J3003" s="1"/>
  <c r="G2980"/>
  <c r="J2979"/>
  <c r="G2978"/>
  <c r="G2977"/>
  <c r="G2976"/>
  <c r="G2975"/>
  <c r="G2974"/>
  <c r="G2973"/>
  <c r="G2972"/>
  <c r="G2971"/>
  <c r="G2970"/>
  <c r="G2969"/>
  <c r="G2968"/>
  <c r="G2967"/>
  <c r="G2966"/>
  <c r="G2965"/>
  <c r="G2964"/>
  <c r="G2963"/>
  <c r="G2962"/>
  <c r="G2961"/>
  <c r="G2960"/>
  <c r="G2959"/>
  <c r="G2958"/>
  <c r="G2957"/>
  <c r="G2956"/>
  <c r="G2955"/>
  <c r="J2951"/>
  <c r="J2950"/>
  <c r="J2949"/>
  <c r="G2935"/>
  <c r="J2935" s="1"/>
  <c r="H2934"/>
  <c r="G2934"/>
  <c r="H2933"/>
  <c r="G2933"/>
  <c r="H2932"/>
  <c r="G2932"/>
  <c r="H2931"/>
  <c r="G2931"/>
  <c r="H2930"/>
  <c r="G2930"/>
  <c r="H2929"/>
  <c r="G2929"/>
  <c r="H2928"/>
  <c r="G2928"/>
  <c r="H2927"/>
  <c r="G2927"/>
  <c r="H2926"/>
  <c r="G2926"/>
  <c r="H2925"/>
  <c r="G2925"/>
  <c r="H2924"/>
  <c r="G2924"/>
  <c r="H2923"/>
  <c r="G2923"/>
  <c r="H2922"/>
  <c r="G2922"/>
  <c r="H2921"/>
  <c r="G2921"/>
  <c r="H2920"/>
  <c r="G2920"/>
  <c r="H2919"/>
  <c r="H2918"/>
  <c r="G2918"/>
  <c r="H2917"/>
  <c r="G2917"/>
  <c r="H2916"/>
  <c r="G2916"/>
  <c r="H2915"/>
  <c r="G2915"/>
  <c r="H2914"/>
  <c r="G2914"/>
  <c r="H2913"/>
  <c r="G2913"/>
  <c r="H2912"/>
  <c r="G2912"/>
  <c r="H2911"/>
  <c r="G2911"/>
  <c r="J2893"/>
  <c r="J2891"/>
  <c r="J2890"/>
  <c r="J2888"/>
  <c r="J2887"/>
  <c r="J2885"/>
  <c r="J2884"/>
  <c r="J2883"/>
  <c r="J2881"/>
  <c r="J2880"/>
  <c r="J2879"/>
  <c r="J2877"/>
  <c r="J2876"/>
  <c r="J2875"/>
  <c r="J2874"/>
  <c r="J2873"/>
  <c r="J2872"/>
  <c r="J2871"/>
  <c r="J2870"/>
  <c r="J2869"/>
  <c r="J2868"/>
  <c r="G2867"/>
  <c r="J2867" s="1"/>
  <c r="J2865"/>
  <c r="J2864"/>
  <c r="J2863"/>
  <c r="J2862"/>
  <c r="J2861"/>
  <c r="J2860"/>
  <c r="J2859"/>
  <c r="J2858"/>
  <c r="J2857"/>
  <c r="J2856"/>
  <c r="J2855"/>
  <c r="J2854"/>
  <c r="J2852"/>
  <c r="J2851"/>
  <c r="J2850"/>
  <c r="J2849"/>
  <c r="J2848"/>
  <c r="J2847"/>
  <c r="J2846"/>
  <c r="J2845"/>
  <c r="J2844"/>
  <c r="J2843"/>
  <c r="J2842"/>
  <c r="J2841"/>
  <c r="J2840"/>
  <c r="J2839"/>
  <c r="J2838"/>
  <c r="J2831"/>
  <c r="J2830"/>
  <c r="J2828"/>
  <c r="J2827"/>
  <c r="J2824"/>
  <c r="J2823"/>
  <c r="J2805"/>
  <c r="J2804"/>
  <c r="G2802"/>
  <c r="J2802" s="1"/>
  <c r="G2801"/>
  <c r="J2801" s="1"/>
  <c r="G2800"/>
  <c r="J2800" s="1"/>
  <c r="J2798"/>
  <c r="J2797"/>
  <c r="J2796"/>
  <c r="J2795"/>
  <c r="J2794"/>
  <c r="J2793"/>
  <c r="J2792"/>
  <c r="J2791"/>
  <c r="G2782"/>
  <c r="G2781"/>
  <c r="G2780"/>
  <c r="G2779"/>
  <c r="G2778"/>
  <c r="G2777"/>
  <c r="G2776"/>
  <c r="J2775"/>
  <c r="G2774"/>
  <c r="G2773"/>
  <c r="G2772"/>
  <c r="J2770"/>
  <c r="J2769"/>
  <c r="J2768"/>
  <c r="J2767"/>
  <c r="J2766"/>
  <c r="J2765"/>
  <c r="J2764"/>
  <c r="J2763"/>
  <c r="J2762"/>
  <c r="J2761"/>
  <c r="J2760"/>
  <c r="J2759"/>
  <c r="J2758"/>
  <c r="J2757"/>
  <c r="J2756"/>
  <c r="J2755"/>
  <c r="G2742"/>
  <c r="G2741"/>
  <c r="G2740"/>
  <c r="G2739"/>
  <c r="G2738"/>
  <c r="J2737"/>
  <c r="G2736"/>
  <c r="G2735"/>
  <c r="G2734"/>
  <c r="J2733"/>
  <c r="J2732"/>
  <c r="J2731"/>
  <c r="J2730"/>
  <c r="J2729"/>
  <c r="G2728"/>
  <c r="J2727"/>
  <c r="J2716"/>
  <c r="J2714"/>
  <c r="J2713"/>
  <c r="I2712"/>
  <c r="G2712"/>
  <c r="J2711"/>
  <c r="J2710"/>
  <c r="I2709"/>
  <c r="G2709"/>
  <c r="J2708"/>
  <c r="J2707"/>
  <c r="I2706"/>
  <c r="G2706"/>
  <c r="J2705"/>
  <c r="J2704"/>
  <c r="I2703"/>
  <c r="J2703" s="1"/>
  <c r="J2702"/>
  <c r="J2701"/>
  <c r="I2700"/>
  <c r="J2700" s="1"/>
  <c r="J2697"/>
  <c r="J2696"/>
  <c r="J2694"/>
  <c r="J2693"/>
  <c r="I2692"/>
  <c r="G2692"/>
  <c r="J2691"/>
  <c r="J2690"/>
  <c r="I2689"/>
  <c r="G2689"/>
  <c r="J2688"/>
  <c r="J2687"/>
  <c r="I2686"/>
  <c r="G2686"/>
  <c r="J2685"/>
  <c r="J2684"/>
  <c r="I2683"/>
  <c r="G2683"/>
  <c r="J2682"/>
  <c r="I2681"/>
  <c r="G2681"/>
  <c r="J2680"/>
  <c r="J2679"/>
  <c r="I2678"/>
  <c r="G2678"/>
  <c r="J2677"/>
  <c r="J2676"/>
  <c r="I2675"/>
  <c r="G2675"/>
  <c r="J2674"/>
  <c r="J2673"/>
  <c r="I2672"/>
  <c r="J2671"/>
  <c r="I2670"/>
  <c r="G2670"/>
  <c r="J2663"/>
  <c r="J2662"/>
  <c r="J2660"/>
  <c r="J2659"/>
  <c r="J2652"/>
  <c r="J2651"/>
  <c r="J2649"/>
  <c r="J2647"/>
  <c r="J2646"/>
  <c r="J2645"/>
  <c r="J2644"/>
  <c r="J2643"/>
  <c r="J2642"/>
  <c r="J2641"/>
  <c r="J2640"/>
  <c r="J2639"/>
  <c r="J2638"/>
  <c r="G2637"/>
  <c r="J2637" s="1"/>
  <c r="J2634"/>
  <c r="J2633"/>
  <c r="J2632"/>
  <c r="J2631"/>
  <c r="J2630"/>
  <c r="J2629"/>
  <c r="J2628"/>
  <c r="J2627"/>
  <c r="J2626"/>
  <c r="J2625"/>
  <c r="J2624"/>
  <c r="J2623"/>
  <c r="J2620"/>
  <c r="J2619"/>
  <c r="J2618"/>
  <c r="J2617"/>
  <c r="J2616"/>
  <c r="J2615"/>
  <c r="J2614"/>
  <c r="J2613"/>
  <c r="J2612"/>
  <c r="J2611"/>
  <c r="J2610"/>
  <c r="J2609"/>
  <c r="J2608"/>
  <c r="J2607"/>
  <c r="J2606"/>
  <c r="G2577"/>
  <c r="J2577" s="1"/>
  <c r="G2576"/>
  <c r="J2576" s="1"/>
  <c r="G2575"/>
  <c r="J2575" s="1"/>
  <c r="G2574"/>
  <c r="J2574" s="1"/>
  <c r="G2572"/>
  <c r="F2572"/>
  <c r="G2571"/>
  <c r="F2571"/>
  <c r="G2570"/>
  <c r="F2570"/>
  <c r="G2569"/>
  <c r="F2569"/>
  <c r="G2567"/>
  <c r="J2567" s="1"/>
  <c r="G2566"/>
  <c r="J2566" s="1"/>
  <c r="G2565"/>
  <c r="J2565" s="1"/>
  <c r="G2564"/>
  <c r="J2564" s="1"/>
  <c r="J2563"/>
  <c r="G2562"/>
  <c r="J2562" s="1"/>
  <c r="G2561"/>
  <c r="J2561" s="1"/>
  <c r="G2560"/>
  <c r="J2560" s="1"/>
  <c r="F2543"/>
  <c r="J2543" s="1"/>
  <c r="F2542"/>
  <c r="J2542" s="1"/>
  <c r="J2541"/>
  <c r="J2540"/>
  <c r="F2539"/>
  <c r="J2539" s="1"/>
  <c r="J2538"/>
  <c r="F2537"/>
  <c r="J2537" s="1"/>
  <c r="F2536"/>
  <c r="J2536" s="1"/>
  <c r="J2535"/>
  <c r="J2530"/>
  <c r="J2529"/>
  <c r="J2527"/>
  <c r="J2525"/>
  <c r="J2523"/>
  <c r="J2522"/>
  <c r="J2520"/>
  <c r="J2519"/>
  <c r="J2518"/>
  <c r="J2517"/>
  <c r="J2516"/>
  <c r="J2515"/>
  <c r="J2514"/>
  <c r="J2513"/>
  <c r="J2512"/>
  <c r="J2511"/>
  <c r="J2510"/>
  <c r="J2509"/>
  <c r="J2508"/>
  <c r="J2507"/>
  <c r="J2506"/>
  <c r="J2505"/>
  <c r="J2504"/>
  <c r="J2503"/>
  <c r="J2502"/>
  <c r="J2501"/>
  <c r="J2500"/>
  <c r="J2499"/>
  <c r="J2498"/>
  <c r="J2497"/>
  <c r="J2496"/>
  <c r="J2495"/>
  <c r="J2494"/>
  <c r="J2493"/>
  <c r="J2492"/>
  <c r="J2491"/>
  <c r="J2490"/>
  <c r="J2488"/>
  <c r="J2487"/>
  <c r="J2486"/>
  <c r="J2485"/>
  <c r="J2484"/>
  <c r="J2483"/>
  <c r="J2482"/>
  <c r="J2481"/>
  <c r="J2480"/>
  <c r="J2479"/>
  <c r="J2478"/>
  <c r="J2477"/>
  <c r="J2476"/>
  <c r="J2475"/>
  <c r="J2474"/>
  <c r="J2473"/>
  <c r="J2472"/>
  <c r="J2471"/>
  <c r="J2470"/>
  <c r="J2469"/>
  <c r="J2468"/>
  <c r="J2467"/>
  <c r="J2466"/>
  <c r="J2465"/>
  <c r="J2464"/>
  <c r="J2463"/>
  <c r="J2462"/>
  <c r="J2461"/>
  <c r="J2460"/>
  <c r="G2444"/>
  <c r="J2444" s="1"/>
  <c r="J2442"/>
  <c r="J2441"/>
  <c r="G2439"/>
  <c r="J2439" s="1"/>
  <c r="G2438"/>
  <c r="J2438" s="1"/>
  <c r="G2437"/>
  <c r="J2437" s="1"/>
  <c r="J2435"/>
  <c r="J2434"/>
  <c r="J2433"/>
  <c r="J2432"/>
  <c r="J2431"/>
  <c r="J2430"/>
  <c r="J2429"/>
  <c r="J2428"/>
  <c r="G2426"/>
  <c r="G2425"/>
  <c r="G2424"/>
  <c r="G2423"/>
  <c r="G2422"/>
  <c r="G2421"/>
  <c r="G2420"/>
  <c r="J2419"/>
  <c r="G2418"/>
  <c r="G2417"/>
  <c r="G2416"/>
  <c r="J2414"/>
  <c r="J2413"/>
  <c r="J2412"/>
  <c r="J2411"/>
  <c r="J2410"/>
  <c r="J2409"/>
  <c r="J2408"/>
  <c r="J2407"/>
  <c r="J2406"/>
  <c r="J2405"/>
  <c r="J2404"/>
  <c r="J2403"/>
  <c r="J2402"/>
  <c r="J2401"/>
  <c r="J2400"/>
  <c r="J2399"/>
  <c r="G2397"/>
  <c r="G2396"/>
  <c r="G2395"/>
  <c r="G2394"/>
  <c r="G2393"/>
  <c r="J2392"/>
  <c r="G2391"/>
  <c r="G2390"/>
  <c r="G2389"/>
  <c r="J2388"/>
  <c r="J2387"/>
  <c r="J2386"/>
  <c r="J2385"/>
  <c r="J2384"/>
  <c r="G2383"/>
  <c r="J2366"/>
  <c r="G2365"/>
  <c r="J2365" s="1"/>
  <c r="J2364"/>
  <c r="J2358"/>
  <c r="J2357"/>
  <c r="J2353"/>
  <c r="J2352"/>
  <c r="G2351"/>
  <c r="J2351" s="1"/>
  <c r="J2350"/>
  <c r="J2345"/>
  <c r="J2344"/>
  <c r="J2376"/>
  <c r="G2340"/>
  <c r="J2340" s="1"/>
  <c r="G2339"/>
  <c r="J2339" s="1"/>
  <c r="J2337"/>
  <c r="J2336"/>
  <c r="G2335"/>
  <c r="J2335" s="1"/>
  <c r="G2334"/>
  <c r="J2334" s="1"/>
  <c r="G2331"/>
  <c r="J2331" s="1"/>
  <c r="J2324"/>
  <c r="F2322"/>
  <c r="J2322" s="1"/>
  <c r="F2321"/>
  <c r="J2321" s="1"/>
  <c r="J2320"/>
  <c r="J2318"/>
  <c r="F2316"/>
  <c r="J2316" s="1"/>
  <c r="F2315"/>
  <c r="J2315" s="1"/>
  <c r="J2314"/>
  <c r="J2310"/>
  <c r="J2297"/>
  <c r="J2296"/>
  <c r="J2290"/>
  <c r="J2289"/>
  <c r="J2288"/>
  <c r="J2287"/>
  <c r="J2286"/>
  <c r="J2285"/>
  <c r="J2284"/>
  <c r="J2281"/>
  <c r="J2270"/>
  <c r="J2265"/>
  <c r="J2264"/>
  <c r="J2262"/>
  <c r="J2261"/>
  <c r="J2260"/>
  <c r="J2162"/>
  <c r="J2160"/>
  <c r="J2159"/>
  <c r="J2148"/>
  <c r="J2147"/>
  <c r="J2146"/>
  <c r="J2246"/>
  <c r="J2244"/>
  <c r="J2205"/>
  <c r="J2204"/>
  <c r="J2145"/>
  <c r="J2198"/>
  <c r="J2196"/>
  <c r="J2191"/>
  <c r="J2190"/>
  <c r="J2158"/>
  <c r="J2157"/>
  <c r="J2156"/>
  <c r="J2155"/>
  <c r="J2153"/>
  <c r="J2143"/>
  <c r="J2142"/>
  <c r="J2141"/>
  <c r="J2140"/>
  <c r="J2139"/>
  <c r="J2138"/>
  <c r="J2137"/>
  <c r="J2136"/>
  <c r="J2135"/>
  <c r="J2134"/>
  <c r="J2133"/>
  <c r="J2126"/>
  <c r="B150" i="9" s="1"/>
  <c r="J2109" i="30"/>
  <c r="J2068"/>
  <c r="J2070" s="1"/>
  <c r="J2071" s="1"/>
  <c r="B131" i="9" s="1"/>
  <c r="J2061" i="30"/>
  <c r="J2060"/>
  <c r="J2059"/>
  <c r="J2053"/>
  <c r="J2050"/>
  <c r="J2033"/>
  <c r="F2096" s="1"/>
  <c r="J2096" s="1"/>
  <c r="J2030"/>
  <c r="J2043"/>
  <c r="J2013"/>
  <c r="J2027"/>
  <c r="J2017"/>
  <c r="J2020" s="1"/>
  <c r="F2091" s="1"/>
  <c r="J2023"/>
  <c r="J2024" s="1"/>
  <c r="J2046"/>
  <c r="J2047" s="1"/>
  <c r="J2041"/>
  <c r="J2011"/>
  <c r="J1989"/>
  <c r="J1985"/>
  <c r="J1984"/>
  <c r="J1987"/>
  <c r="J1983"/>
  <c r="J1918"/>
  <c r="I1916"/>
  <c r="J1916" s="1"/>
  <c r="I1915"/>
  <c r="G1915"/>
  <c r="I1914"/>
  <c r="J1914" s="1"/>
  <c r="I1913"/>
  <c r="G1913"/>
  <c r="I1912"/>
  <c r="J1912" s="1"/>
  <c r="I1911"/>
  <c r="G1911"/>
  <c r="I1910"/>
  <c r="G1910"/>
  <c r="I1909"/>
  <c r="G1909"/>
  <c r="I1908"/>
  <c r="J1908" s="1"/>
  <c r="J1902"/>
  <c r="J1901"/>
  <c r="I1899"/>
  <c r="J1899" s="1"/>
  <c r="I1898"/>
  <c r="J1898" s="1"/>
  <c r="I1897"/>
  <c r="G1897"/>
  <c r="I1896"/>
  <c r="G1896"/>
  <c r="I1895"/>
  <c r="G1895"/>
  <c r="I1894"/>
  <c r="G1894"/>
  <c r="J1887"/>
  <c r="I1885"/>
  <c r="I1884"/>
  <c r="I1883"/>
  <c r="J1849"/>
  <c r="J1848"/>
  <c r="J1847"/>
  <c r="J1846"/>
  <c r="J1845"/>
  <c r="I1842"/>
  <c r="G1842"/>
  <c r="I1841"/>
  <c r="G1841"/>
  <c r="I1840"/>
  <c r="G1840"/>
  <c r="I1839"/>
  <c r="G1839"/>
  <c r="I1838"/>
  <c r="G1838"/>
  <c r="I1837"/>
  <c r="G1837"/>
  <c r="I1836"/>
  <c r="G1836"/>
  <c r="I1835"/>
  <c r="G1835"/>
  <c r="I1834"/>
  <c r="J1834" s="1"/>
  <c r="I1833"/>
  <c r="G1833"/>
  <c r="I1831"/>
  <c r="G1831"/>
  <c r="I1830"/>
  <c r="J1830" s="1"/>
  <c r="I1829"/>
  <c r="G1829"/>
  <c r="I1828"/>
  <c r="G1828"/>
  <c r="I1827"/>
  <c r="J1827" s="1"/>
  <c r="I1826"/>
  <c r="J1826" s="1"/>
  <c r="I1825"/>
  <c r="G1825"/>
  <c r="I1824"/>
  <c r="G1824"/>
  <c r="I1823"/>
  <c r="G1823"/>
  <c r="I1822"/>
  <c r="J1822" s="1"/>
  <c r="I1821"/>
  <c r="G1821"/>
  <c r="I1820"/>
  <c r="J1820" s="1"/>
  <c r="I1819"/>
  <c r="G1819"/>
  <c r="J1813"/>
  <c r="J1812"/>
  <c r="J1811"/>
  <c r="J1810"/>
  <c r="J1809"/>
  <c r="J1808"/>
  <c r="J1807"/>
  <c r="J1806"/>
  <c r="J1805"/>
  <c r="J1804"/>
  <c r="J1803"/>
  <c r="I1789"/>
  <c r="G1789"/>
  <c r="I1788"/>
  <c r="J1788" s="1"/>
  <c r="I1787"/>
  <c r="J1787" s="1"/>
  <c r="I1786"/>
  <c r="J1786" s="1"/>
  <c r="I1785"/>
  <c r="G1785"/>
  <c r="I1784"/>
  <c r="G1784"/>
  <c r="I1783"/>
  <c r="G1783"/>
  <c r="I1782"/>
  <c r="J1782" s="1"/>
  <c r="I1781"/>
  <c r="J1781" s="1"/>
  <c r="I1780"/>
  <c r="G1780"/>
  <c r="I1779"/>
  <c r="G1779"/>
  <c r="I1778"/>
  <c r="G1778"/>
  <c r="I1777"/>
  <c r="G1777"/>
  <c r="I1775"/>
  <c r="G1775"/>
  <c r="I1774"/>
  <c r="G1774"/>
  <c r="I1773"/>
  <c r="G1773"/>
  <c r="I1772"/>
  <c r="G1772"/>
  <c r="I1771"/>
  <c r="G1771"/>
  <c r="I1770"/>
  <c r="J1770" s="1"/>
  <c r="I1769"/>
  <c r="G1769"/>
  <c r="I1768"/>
  <c r="G1768"/>
  <c r="I1767"/>
  <c r="J1767" s="1"/>
  <c r="I1766"/>
  <c r="J1766" s="1"/>
  <c r="I1765"/>
  <c r="G1765"/>
  <c r="G1750"/>
  <c r="J1750" s="1"/>
  <c r="J1749"/>
  <c r="J1748"/>
  <c r="J1747"/>
  <c r="G1746"/>
  <c r="J1746" s="1"/>
  <c r="G1745"/>
  <c r="J1745" s="1"/>
  <c r="G1744"/>
  <c r="J1744" s="1"/>
  <c r="J1743"/>
  <c r="J1742"/>
  <c r="J1741"/>
  <c r="G1740"/>
  <c r="J1740" s="1"/>
  <c r="J1739"/>
  <c r="G1738"/>
  <c r="J1738" s="1"/>
  <c r="J1736"/>
  <c r="G1735"/>
  <c r="J1735" s="1"/>
  <c r="G1734"/>
  <c r="J1734" s="1"/>
  <c r="G1733"/>
  <c r="J1733" s="1"/>
  <c r="G1732"/>
  <c r="J1732" s="1"/>
  <c r="J1731"/>
  <c r="G1730"/>
  <c r="J1730" s="1"/>
  <c r="G1729"/>
  <c r="J1729" s="1"/>
  <c r="J1728"/>
  <c r="J1727"/>
  <c r="G1726"/>
  <c r="J1726" s="1"/>
  <c r="G1694"/>
  <c r="J1694" s="1"/>
  <c r="J1693"/>
  <c r="J1692"/>
  <c r="J1688"/>
  <c r="J1687"/>
  <c r="J1680"/>
  <c r="J1670"/>
  <c r="J1669"/>
  <c r="J1668"/>
  <c r="G1665"/>
  <c r="J1665" s="1"/>
  <c r="G1664"/>
  <c r="J1664" s="1"/>
  <c r="G1662"/>
  <c r="J1662" s="1"/>
  <c r="G1661"/>
  <c r="J1661" s="1"/>
  <c r="G1656"/>
  <c r="J1656" s="1"/>
  <c r="G1655"/>
  <c r="J1655" s="1"/>
  <c r="G1654"/>
  <c r="J1654" s="1"/>
  <c r="G1653"/>
  <c r="J1653" s="1"/>
  <c r="G1650"/>
  <c r="J1650" s="1"/>
  <c r="G1649"/>
  <c r="J1649" s="1"/>
  <c r="G1648"/>
  <c r="J1648" s="1"/>
  <c r="G1647"/>
  <c r="J1647" s="1"/>
  <c r="J1646"/>
  <c r="G1645"/>
  <c r="J1645" s="1"/>
  <c r="G1644"/>
  <c r="J1644" s="1"/>
  <c r="G1643"/>
  <c r="J1643" s="1"/>
  <c r="G1638"/>
  <c r="J1638" s="1"/>
  <c r="G1637"/>
  <c r="J1637" s="1"/>
  <c r="G1636"/>
  <c r="J1636" s="1"/>
  <c r="G1635"/>
  <c r="J1635" s="1"/>
  <c r="G1634"/>
  <c r="J1634" s="1"/>
  <c r="G1633"/>
  <c r="J1633" s="1"/>
  <c r="G1632"/>
  <c r="F1632"/>
  <c r="G1631"/>
  <c r="J1631" s="1"/>
  <c r="G1630"/>
  <c r="F1630"/>
  <c r="G1629"/>
  <c r="J1629" s="1"/>
  <c r="G1628"/>
  <c r="F1628"/>
  <c r="G1627"/>
  <c r="J1627" s="1"/>
  <c r="G1626"/>
  <c r="J1626" s="1"/>
  <c r="G1625"/>
  <c r="J1625" s="1"/>
  <c r="I1624"/>
  <c r="G1624"/>
  <c r="I1620"/>
  <c r="G1620"/>
  <c r="I1619"/>
  <c r="G1619"/>
  <c r="I1618"/>
  <c r="G1618"/>
  <c r="I1617"/>
  <c r="G1617"/>
  <c r="I1616"/>
  <c r="G1616"/>
  <c r="I1615"/>
  <c r="G1615"/>
  <c r="I1614"/>
  <c r="G1614"/>
  <c r="I1613"/>
  <c r="G1613"/>
  <c r="I1612"/>
  <c r="G1612"/>
  <c r="F1612"/>
  <c r="I1611"/>
  <c r="G1611"/>
  <c r="I1610"/>
  <c r="G1610"/>
  <c r="F1610"/>
  <c r="I1609"/>
  <c r="G1609"/>
  <c r="I1608"/>
  <c r="G1608"/>
  <c r="F1608"/>
  <c r="I1607"/>
  <c r="G1607"/>
  <c r="I1606"/>
  <c r="G1606"/>
  <c r="I1605"/>
  <c r="G1605"/>
  <c r="I1604"/>
  <c r="G1604"/>
  <c r="J1559"/>
  <c r="J1558"/>
  <c r="J1557"/>
  <c r="J1556"/>
  <c r="J1552"/>
  <c r="J1551"/>
  <c r="J1544"/>
  <c r="J1543"/>
  <c r="J1542"/>
  <c r="J1538"/>
  <c r="J1537"/>
  <c r="J1536"/>
  <c r="J1535"/>
  <c r="J1534"/>
  <c r="J1533"/>
  <c r="J1532"/>
  <c r="J1531"/>
  <c r="J1530"/>
  <c r="D1529"/>
  <c r="J1529" s="1"/>
  <c r="J1528"/>
  <c r="D1527"/>
  <c r="J1527" s="1"/>
  <c r="J1526"/>
  <c r="D1525"/>
  <c r="J1525" s="1"/>
  <c r="J1524"/>
  <c r="J1523"/>
  <c r="J1522"/>
  <c r="J1521"/>
  <c r="J1520"/>
  <c r="D1519"/>
  <c r="J1519" s="1"/>
  <c r="J1518"/>
  <c r="D1517"/>
  <c r="J1517" s="1"/>
  <c r="J1497"/>
  <c r="J1498" s="1"/>
  <c r="J1499" s="1"/>
  <c r="G1512" s="1"/>
  <c r="J1512" s="1"/>
  <c r="G1493"/>
  <c r="J1493" s="1"/>
  <c r="G1491"/>
  <c r="J1491" s="1"/>
  <c r="G1490"/>
  <c r="J1490" s="1"/>
  <c r="G1489"/>
  <c r="J1489" s="1"/>
  <c r="G1488"/>
  <c r="J1488" s="1"/>
  <c r="J1486"/>
  <c r="G1485"/>
  <c r="J1485" s="1"/>
  <c r="J1484"/>
  <c r="G1483"/>
  <c r="J1483" s="1"/>
  <c r="J1482"/>
  <c r="J1474"/>
  <c r="J1473"/>
  <c r="J1472"/>
  <c r="J1471"/>
  <c r="J1470"/>
  <c r="J1469"/>
  <c r="J1468"/>
  <c r="J1467"/>
  <c r="J1466"/>
  <c r="J1465"/>
  <c r="J1464"/>
  <c r="J1460"/>
  <c r="J1459"/>
  <c r="J1458"/>
  <c r="J1457"/>
  <c r="J1456"/>
  <c r="J1455"/>
  <c r="J1454"/>
  <c r="J1453"/>
  <c r="J1452"/>
  <c r="J1451"/>
  <c r="G1450"/>
  <c r="J1450" s="1"/>
  <c r="G1449"/>
  <c r="J1449" s="1"/>
  <c r="J1448"/>
  <c r="J1447"/>
  <c r="J1446"/>
  <c r="J1445"/>
  <c r="J1444"/>
  <c r="J1443"/>
  <c r="J1442"/>
  <c r="J1441"/>
  <c r="J1440"/>
  <c r="J1439"/>
  <c r="J1438"/>
  <c r="J1437"/>
  <c r="J1436"/>
  <c r="J1435"/>
  <c r="J1434"/>
  <c r="J1433"/>
  <c r="J1432"/>
  <c r="J1431"/>
  <c r="J1430"/>
  <c r="J1429"/>
  <c r="J1428"/>
  <c r="J1427"/>
  <c r="J1426"/>
  <c r="J1425"/>
  <c r="J1424"/>
  <c r="J1423"/>
  <c r="J1422"/>
  <c r="J1421"/>
  <c r="J1420"/>
  <c r="J1419"/>
  <c r="J1418"/>
  <c r="J1417"/>
  <c r="J1416"/>
  <c r="J1415"/>
  <c r="J1414"/>
  <c r="J1413"/>
  <c r="J1412"/>
  <c r="J1411"/>
  <c r="J1410"/>
  <c r="J1409"/>
  <c r="J1408"/>
  <c r="J1407"/>
  <c r="J1406"/>
  <c r="J1405"/>
  <c r="J1404"/>
  <c r="J1403"/>
  <c r="J1402"/>
  <c r="J1401"/>
  <c r="J1400"/>
  <c r="J1399"/>
  <c r="J1398"/>
  <c r="J1397"/>
  <c r="J1396"/>
  <c r="J1395"/>
  <c r="J1394"/>
  <c r="J1393"/>
  <c r="J1392"/>
  <c r="J1391"/>
  <c r="J1390"/>
  <c r="J1389"/>
  <c r="J1388"/>
  <c r="J1387"/>
  <c r="J1386"/>
  <c r="J1385"/>
  <c r="J1384"/>
  <c r="J1383"/>
  <c r="J1382"/>
  <c r="J1381"/>
  <c r="J1380"/>
  <c r="J1379"/>
  <c r="J1378"/>
  <c r="J1377"/>
  <c r="J1376"/>
  <c r="J1375"/>
  <c r="J1374"/>
  <c r="J1373"/>
  <c r="J1372"/>
  <c r="J1365"/>
  <c r="J1364"/>
  <c r="J1363"/>
  <c r="J1362"/>
  <c r="G1357"/>
  <c r="J1357" s="1"/>
  <c r="G1356"/>
  <c r="J1356" s="1"/>
  <c r="G1354"/>
  <c r="J1354" s="1"/>
  <c r="G1353"/>
  <c r="J1353" s="1"/>
  <c r="G1352"/>
  <c r="J1352" s="1"/>
  <c r="J1350"/>
  <c r="J1349"/>
  <c r="J1348"/>
  <c r="J1347"/>
  <c r="J1346"/>
  <c r="J1345"/>
  <c r="G1344"/>
  <c r="J1344" s="1"/>
  <c r="J1343"/>
  <c r="J1342"/>
  <c r="J1337"/>
  <c r="J1336"/>
  <c r="J1335"/>
  <c r="G1334"/>
  <c r="J1334" s="1"/>
  <c r="J1333"/>
  <c r="J1332"/>
  <c r="J1330"/>
  <c r="J1329"/>
  <c r="J1328"/>
  <c r="G1327"/>
  <c r="J1327" s="1"/>
  <c r="J1326"/>
  <c r="J1325"/>
  <c r="J1313"/>
  <c r="J1312"/>
  <c r="J1311"/>
  <c r="J1310"/>
  <c r="J1309"/>
  <c r="J1308"/>
  <c r="J1307"/>
  <c r="J1306"/>
  <c r="J1305"/>
  <c r="J1304"/>
  <c r="J1303"/>
  <c r="J1302"/>
  <c r="J1292"/>
  <c r="J1291"/>
  <c r="J1290"/>
  <c r="J1289"/>
  <c r="J1288"/>
  <c r="J1287"/>
  <c r="J1286"/>
  <c r="J1285"/>
  <c r="J1284"/>
  <c r="J1283"/>
  <c r="G1282"/>
  <c r="J1282" s="1"/>
  <c r="G1281"/>
  <c r="J1281" s="1"/>
  <c r="J1280"/>
  <c r="J1279"/>
  <c r="J1278"/>
  <c r="J1277"/>
  <c r="J1276"/>
  <c r="J1275"/>
  <c r="J1274"/>
  <c r="J1273"/>
  <c r="J1272"/>
  <c r="J1271"/>
  <c r="J1270"/>
  <c r="J1269"/>
  <c r="J1268"/>
  <c r="J1267"/>
  <c r="J1266"/>
  <c r="J1265"/>
  <c r="J1264"/>
  <c r="J1263"/>
  <c r="J1262"/>
  <c r="J1261"/>
  <c r="J1260"/>
  <c r="J1259"/>
  <c r="J1258"/>
  <c r="J1257"/>
  <c r="J1256"/>
  <c r="J1255"/>
  <c r="J1254"/>
  <c r="J1253"/>
  <c r="J1252"/>
  <c r="J1251"/>
  <c r="J1250"/>
  <c r="J1249"/>
  <c r="J1248"/>
  <c r="J1247"/>
  <c r="J1246"/>
  <c r="J1245"/>
  <c r="J1244"/>
  <c r="J1243"/>
  <c r="J1242"/>
  <c r="J1241"/>
  <c r="J1240"/>
  <c r="J1239"/>
  <c r="J1238"/>
  <c r="J1237"/>
  <c r="J1236"/>
  <c r="J1235"/>
  <c r="J1234"/>
  <c r="J1233"/>
  <c r="J1232"/>
  <c r="J1231"/>
  <c r="J1230"/>
  <c r="J1229"/>
  <c r="J1228"/>
  <c r="J1227"/>
  <c r="J1226"/>
  <c r="J1225"/>
  <c r="J1224"/>
  <c r="J1223"/>
  <c r="J1222"/>
  <c r="J1221"/>
  <c r="J1220"/>
  <c r="J1219"/>
  <c r="J1218"/>
  <c r="J1217"/>
  <c r="J1216"/>
  <c r="J1215"/>
  <c r="J1214"/>
  <c r="J1213"/>
  <c r="J1212"/>
  <c r="J1211"/>
  <c r="J1210"/>
  <c r="J1209"/>
  <c r="J1208"/>
  <c r="J1207"/>
  <c r="J1206"/>
  <c r="J1205"/>
  <c r="J1204"/>
  <c r="J1203"/>
  <c r="J1202"/>
  <c r="J1191"/>
  <c r="J1190"/>
  <c r="J1189"/>
  <c r="J1188"/>
  <c r="J1187"/>
  <c r="J1186"/>
  <c r="J1185"/>
  <c r="J1184"/>
  <c r="J1183"/>
  <c r="J1182"/>
  <c r="J1181"/>
  <c r="J1180"/>
  <c r="J1179"/>
  <c r="J1178"/>
  <c r="J1177"/>
  <c r="J1176"/>
  <c r="J1175"/>
  <c r="J1174"/>
  <c r="J1173"/>
  <c r="J1172"/>
  <c r="J1171"/>
  <c r="J1170"/>
  <c r="J1169"/>
  <c r="J1168"/>
  <c r="J1167"/>
  <c r="J1166"/>
  <c r="J1165"/>
  <c r="J1164"/>
  <c r="J1163"/>
  <c r="J1162"/>
  <c r="J1161"/>
  <c r="J1159"/>
  <c r="J1158"/>
  <c r="J1157"/>
  <c r="J1156"/>
  <c r="J1155"/>
  <c r="J1154"/>
  <c r="J1153"/>
  <c r="J1152"/>
  <c r="J1151"/>
  <c r="J1150"/>
  <c r="J1149"/>
  <c r="J1148"/>
  <c r="J1147"/>
  <c r="J1146"/>
  <c r="J1145"/>
  <c r="J1144"/>
  <c r="J1143"/>
  <c r="J1142"/>
  <c r="J1141"/>
  <c r="J1140"/>
  <c r="J1139"/>
  <c r="J1138"/>
  <c r="J1137"/>
  <c r="J1136"/>
  <c r="J1135"/>
  <c r="J1134"/>
  <c r="J1133"/>
  <c r="J1132"/>
  <c r="J1131"/>
  <c r="H1119"/>
  <c r="J1119" s="1"/>
  <c r="G1118"/>
  <c r="J1118" s="1"/>
  <c r="G1117"/>
  <c r="J1117" s="1"/>
  <c r="H1116"/>
  <c r="J1116" s="1"/>
  <c r="G1115"/>
  <c r="J1115" s="1"/>
  <c r="H1114"/>
  <c r="J1114" s="1"/>
  <c r="G1113"/>
  <c r="J1113" s="1"/>
  <c r="H1112"/>
  <c r="J1112" s="1"/>
  <c r="G1111"/>
  <c r="J1111" s="1"/>
  <c r="H1110"/>
  <c r="J1110" s="1"/>
  <c r="G1109"/>
  <c r="J1109" s="1"/>
  <c r="H1108"/>
  <c r="J1108" s="1"/>
  <c r="G1107"/>
  <c r="J1107" s="1"/>
  <c r="H1106"/>
  <c r="J1106" s="1"/>
  <c r="G1105"/>
  <c r="J1105" s="1"/>
  <c r="H1104"/>
  <c r="J1104" s="1"/>
  <c r="G1103"/>
  <c r="J1103" s="1"/>
  <c r="H1102"/>
  <c r="J1102" s="1"/>
  <c r="G1101"/>
  <c r="J1101" s="1"/>
  <c r="H1100"/>
  <c r="J1100" s="1"/>
  <c r="G1099"/>
  <c r="J1099" s="1"/>
  <c r="H1098"/>
  <c r="J1098" s="1"/>
  <c r="G1097"/>
  <c r="J1097" s="1"/>
  <c r="H1096"/>
  <c r="J1096" s="1"/>
  <c r="G1095"/>
  <c r="J1095" s="1"/>
  <c r="H1094"/>
  <c r="J1094" s="1"/>
  <c r="G1093"/>
  <c r="J1093" s="1"/>
  <c r="H1092"/>
  <c r="J1092" s="1"/>
  <c r="G1091"/>
  <c r="J1091" s="1"/>
  <c r="H1090"/>
  <c r="J1090" s="1"/>
  <c r="G1089"/>
  <c r="J1089" s="1"/>
  <c r="H1088"/>
  <c r="J1088" s="1"/>
  <c r="G1087"/>
  <c r="J1087" s="1"/>
  <c r="H1086"/>
  <c r="J1086" s="1"/>
  <c r="G1085"/>
  <c r="J1085" s="1"/>
  <c r="H1084"/>
  <c r="J1084" s="1"/>
  <c r="G1083"/>
  <c r="J1083" s="1"/>
  <c r="H1082"/>
  <c r="J1082" s="1"/>
  <c r="G1081"/>
  <c r="J1081" s="1"/>
  <c r="H1080"/>
  <c r="J1080" s="1"/>
  <c r="G1079"/>
  <c r="J1079" s="1"/>
  <c r="H1078"/>
  <c r="J1078" s="1"/>
  <c r="G1077"/>
  <c r="J1077" s="1"/>
  <c r="H1076"/>
  <c r="J1076" s="1"/>
  <c r="G1075"/>
  <c r="J1075" s="1"/>
  <c r="H1074"/>
  <c r="J1074" s="1"/>
  <c r="G1073"/>
  <c r="J1073" s="1"/>
  <c r="H1072"/>
  <c r="J1072" s="1"/>
  <c r="G1071"/>
  <c r="J1071" s="1"/>
  <c r="H1070"/>
  <c r="J1070" s="1"/>
  <c r="G1069"/>
  <c r="J1069" s="1"/>
  <c r="J1038"/>
  <c r="J1037"/>
  <c r="J1036"/>
  <c r="J1035"/>
  <c r="G1031"/>
  <c r="J1031" s="1"/>
  <c r="G1030"/>
  <c r="J1030" s="1"/>
  <c r="J1026"/>
  <c r="J1025"/>
  <c r="J1021"/>
  <c r="J1020"/>
  <c r="J1019"/>
  <c r="J1012"/>
  <c r="J1011"/>
  <c r="J1010"/>
  <c r="J1004"/>
  <c r="J1003"/>
  <c r="J1002"/>
  <c r="J1001"/>
  <c r="J1000"/>
  <c r="J999"/>
  <c r="J998"/>
  <c r="J994"/>
  <c r="J993"/>
  <c r="J991"/>
  <c r="J939"/>
  <c r="J938"/>
  <c r="J937"/>
  <c r="J936"/>
  <c r="J935"/>
  <c r="J934"/>
  <c r="F933"/>
  <c r="J933" s="1"/>
  <c r="J932"/>
  <c r="F931"/>
  <c r="J931" s="1"/>
  <c r="J930"/>
  <c r="F929"/>
  <c r="J929" s="1"/>
  <c r="J928"/>
  <c r="J927"/>
  <c r="J926"/>
  <c r="J925"/>
  <c r="J917"/>
  <c r="J918" s="1"/>
  <c r="J919" s="1"/>
  <c r="G913"/>
  <c r="J913" s="1"/>
  <c r="G912"/>
  <c r="J912" s="1"/>
  <c r="G907"/>
  <c r="J907" s="1"/>
  <c r="G905"/>
  <c r="J905" s="1"/>
  <c r="G904"/>
  <c r="J904" s="1"/>
  <c r="G903"/>
  <c r="J903" s="1"/>
  <c r="G902"/>
  <c r="J902" s="1"/>
  <c r="J900"/>
  <c r="G899"/>
  <c r="J899" s="1"/>
  <c r="J898"/>
  <c r="G897"/>
  <c r="J897" s="1"/>
  <c r="J896"/>
  <c r="J887"/>
  <c r="J886"/>
  <c r="J885"/>
  <c r="J884"/>
  <c r="J883"/>
  <c r="J882"/>
  <c r="J881"/>
  <c r="J880"/>
  <c r="J879"/>
  <c r="J878"/>
  <c r="J877"/>
  <c r="J856"/>
  <c r="J855"/>
  <c r="J854"/>
  <c r="J853"/>
  <c r="J852"/>
  <c r="G851"/>
  <c r="J851" s="1"/>
  <c r="J850"/>
  <c r="J849"/>
  <c r="J848"/>
  <c r="J847"/>
  <c r="J846"/>
  <c r="J845"/>
  <c r="J844"/>
  <c r="J843"/>
  <c r="J842"/>
  <c r="J841"/>
  <c r="J840"/>
  <c r="J839"/>
  <c r="J838"/>
  <c r="J836"/>
  <c r="J835"/>
  <c r="J834"/>
  <c r="J833"/>
  <c r="J832"/>
  <c r="J831"/>
  <c r="J830"/>
  <c r="J829"/>
  <c r="J828"/>
  <c r="J827"/>
  <c r="J826"/>
  <c r="J825"/>
  <c r="J824"/>
  <c r="J823"/>
  <c r="J822"/>
  <c r="J821"/>
  <c r="J820"/>
  <c r="J819"/>
  <c r="J818"/>
  <c r="J817"/>
  <c r="J816"/>
  <c r="J815"/>
  <c r="J814"/>
  <c r="J813"/>
  <c r="J812"/>
  <c r="J807"/>
  <c r="J806"/>
  <c r="J805"/>
  <c r="J804"/>
  <c r="J803"/>
  <c r="J802"/>
  <c r="F801"/>
  <c r="J801" s="1"/>
  <c r="J800"/>
  <c r="F799"/>
  <c r="J799" s="1"/>
  <c r="J798"/>
  <c r="F797"/>
  <c r="J797" s="1"/>
  <c r="J796"/>
  <c r="J795"/>
  <c r="J794"/>
  <c r="I793"/>
  <c r="J793" s="1"/>
  <c r="J786"/>
  <c r="J785"/>
  <c r="J784"/>
  <c r="J783"/>
  <c r="G767"/>
  <c r="J767" s="1"/>
  <c r="G766"/>
  <c r="J766" s="1"/>
  <c r="G765"/>
  <c r="J765" s="1"/>
  <c r="G764"/>
  <c r="J764" s="1"/>
  <c r="G758"/>
  <c r="J758" s="1"/>
  <c r="G757"/>
  <c r="J757" s="1"/>
  <c r="G755"/>
  <c r="J755" s="1"/>
  <c r="G754"/>
  <c r="J754" s="1"/>
  <c r="G753"/>
  <c r="J753" s="1"/>
  <c r="J751"/>
  <c r="J750"/>
  <c r="J749"/>
  <c r="J748"/>
  <c r="J747"/>
  <c r="J746"/>
  <c r="G745"/>
  <c r="J745" s="1"/>
  <c r="J744"/>
  <c r="J743"/>
  <c r="J738"/>
  <c r="J737"/>
  <c r="G736"/>
  <c r="J736" s="1"/>
  <c r="J735"/>
  <c r="J734"/>
  <c r="J732"/>
  <c r="J731"/>
  <c r="G730"/>
  <c r="J730" s="1"/>
  <c r="J729"/>
  <c r="J728"/>
  <c r="J721"/>
  <c r="J720"/>
  <c r="J719"/>
  <c r="J718"/>
  <c r="J717"/>
  <c r="J716"/>
  <c r="J715"/>
  <c r="J714"/>
  <c r="J713"/>
  <c r="J712"/>
  <c r="J711"/>
  <c r="J710"/>
  <c r="J687"/>
  <c r="J686"/>
  <c r="J685"/>
  <c r="J684"/>
  <c r="J683"/>
  <c r="G682"/>
  <c r="J682" s="1"/>
  <c r="J681"/>
  <c r="J680"/>
  <c r="J679"/>
  <c r="J678"/>
  <c r="J677"/>
  <c r="J676"/>
  <c r="J675"/>
  <c r="J674"/>
  <c r="J673"/>
  <c r="J672"/>
  <c r="J671"/>
  <c r="J670"/>
  <c r="J669"/>
  <c r="J667"/>
  <c r="J666"/>
  <c r="J665"/>
  <c r="J664"/>
  <c r="J663"/>
  <c r="J662"/>
  <c r="J661"/>
  <c r="J660"/>
  <c r="J659"/>
  <c r="J658"/>
  <c r="J657"/>
  <c r="J656"/>
  <c r="J655"/>
  <c r="J654"/>
  <c r="J653"/>
  <c r="J652"/>
  <c r="J651"/>
  <c r="J650"/>
  <c r="J649"/>
  <c r="J648"/>
  <c r="J647"/>
  <c r="J646"/>
  <c r="J645"/>
  <c r="J644"/>
  <c r="J643"/>
  <c r="J642"/>
  <c r="I633"/>
  <c r="J633" s="1"/>
  <c r="I632"/>
  <c r="J632" s="1"/>
  <c r="I631"/>
  <c r="J631" s="1"/>
  <c r="I630"/>
  <c r="J630" s="1"/>
  <c r="I629"/>
  <c r="J629" s="1"/>
  <c r="I628"/>
  <c r="J628" s="1"/>
  <c r="I627"/>
  <c r="J627" s="1"/>
  <c r="I626"/>
  <c r="J626" s="1"/>
  <c r="I625"/>
  <c r="F625"/>
  <c r="I624"/>
  <c r="J624" s="1"/>
  <c r="I623"/>
  <c r="F623"/>
  <c r="I622"/>
  <c r="J622" s="1"/>
  <c r="I621"/>
  <c r="F621"/>
  <c r="I620"/>
  <c r="J620" s="1"/>
  <c r="I619"/>
  <c r="J619" s="1"/>
  <c r="I618"/>
  <c r="J618" s="1"/>
  <c r="I617"/>
  <c r="J617" s="1"/>
  <c r="J602"/>
  <c r="J601"/>
  <c r="J600"/>
  <c r="I585"/>
  <c r="J585" s="1"/>
  <c r="I583"/>
  <c r="J583" s="1"/>
  <c r="J575"/>
  <c r="J574"/>
  <c r="J573"/>
  <c r="J572"/>
  <c r="J571"/>
  <c r="J570"/>
  <c r="J569"/>
  <c r="J568"/>
  <c r="F567"/>
  <c r="J566"/>
  <c r="F565"/>
  <c r="J564"/>
  <c r="F563"/>
  <c r="J562"/>
  <c r="J561"/>
  <c r="J560"/>
  <c r="J559"/>
  <c r="J533"/>
  <c r="J532"/>
  <c r="J531"/>
  <c r="J530"/>
  <c r="J529"/>
  <c r="J528"/>
  <c r="J527"/>
  <c r="J526"/>
  <c r="J525"/>
  <c r="J524"/>
  <c r="J523"/>
  <c r="J522"/>
  <c r="J521"/>
  <c r="J520"/>
  <c r="J519"/>
  <c r="J518"/>
  <c r="J517"/>
  <c r="J516"/>
  <c r="J515"/>
  <c r="J514"/>
  <c r="J513"/>
  <c r="J512"/>
  <c r="J511"/>
  <c r="J510"/>
  <c r="J509"/>
  <c r="J508"/>
  <c r="J507"/>
  <c r="J506"/>
  <c r="J505"/>
  <c r="J504"/>
  <c r="J503"/>
  <c r="J501"/>
  <c r="J500"/>
  <c r="J499"/>
  <c r="J498"/>
  <c r="J497"/>
  <c r="J496"/>
  <c r="J495"/>
  <c r="J494"/>
  <c r="J493"/>
  <c r="J492"/>
  <c r="J491"/>
  <c r="J490"/>
  <c r="J489"/>
  <c r="J488"/>
  <c r="J487"/>
  <c r="J486"/>
  <c r="J485"/>
  <c r="J484"/>
  <c r="J483"/>
  <c r="J482"/>
  <c r="J481"/>
  <c r="J480"/>
  <c r="J479"/>
  <c r="J478"/>
  <c r="J477"/>
  <c r="J476"/>
  <c r="J475"/>
  <c r="J474"/>
  <c r="J473"/>
  <c r="H460"/>
  <c r="G460"/>
  <c r="G459"/>
  <c r="J459" s="1"/>
  <c r="H458"/>
  <c r="G458"/>
  <c r="H457"/>
  <c r="G457"/>
  <c r="H456"/>
  <c r="G456"/>
  <c r="H455"/>
  <c r="G455"/>
  <c r="H454"/>
  <c r="G454"/>
  <c r="H453"/>
  <c r="G453"/>
  <c r="H452"/>
  <c r="G452"/>
  <c r="H451"/>
  <c r="G451"/>
  <c r="H450"/>
  <c r="G450"/>
  <c r="H449"/>
  <c r="G449"/>
  <c r="H448"/>
  <c r="G448"/>
  <c r="H447"/>
  <c r="G447"/>
  <c r="H446"/>
  <c r="G446"/>
  <c r="H445"/>
  <c r="G445"/>
  <c r="H444"/>
  <c r="G444"/>
  <c r="H443"/>
  <c r="G443"/>
  <c r="H442"/>
  <c r="G442"/>
  <c r="H441"/>
  <c r="G441"/>
  <c r="H440"/>
  <c r="G440"/>
  <c r="H439"/>
  <c r="G439"/>
  <c r="H438"/>
  <c r="G438"/>
  <c r="H437"/>
  <c r="G437"/>
  <c r="H436"/>
  <c r="G436"/>
  <c r="H435"/>
  <c r="G435"/>
  <c r="J413"/>
  <c r="J412"/>
  <c r="J411"/>
  <c r="J410"/>
  <c r="J409"/>
  <c r="J408"/>
  <c r="J407"/>
  <c r="J406"/>
  <c r="J405"/>
  <c r="J404"/>
  <c r="J403"/>
  <c r="J402"/>
  <c r="J401"/>
  <c r="J400"/>
  <c r="J399"/>
  <c r="J398"/>
  <c r="J397"/>
  <c r="J396"/>
  <c r="J395"/>
  <c r="J394"/>
  <c r="J393"/>
  <c r="J392"/>
  <c r="J391"/>
  <c r="J390"/>
  <c r="J389"/>
  <c r="J388"/>
  <c r="J387"/>
  <c r="J386"/>
  <c r="J385"/>
  <c r="J384"/>
  <c r="J383"/>
  <c r="J381"/>
  <c r="J380"/>
  <c r="J379"/>
  <c r="J378"/>
  <c r="J377"/>
  <c r="J376"/>
  <c r="J375"/>
  <c r="J374"/>
  <c r="J373"/>
  <c r="J372"/>
  <c r="J371"/>
  <c r="J370"/>
  <c r="J369"/>
  <c r="J368"/>
  <c r="J367"/>
  <c r="J366"/>
  <c r="J365"/>
  <c r="J364"/>
  <c r="J363"/>
  <c r="J362"/>
  <c r="J361"/>
  <c r="J360"/>
  <c r="J359"/>
  <c r="J358"/>
  <c r="J357"/>
  <c r="J356"/>
  <c r="J355"/>
  <c r="J354"/>
  <c r="J353"/>
  <c r="J345"/>
  <c r="J427"/>
  <c r="J428" s="1"/>
  <c r="G295"/>
  <c r="J295" s="1"/>
  <c r="G294"/>
  <c r="J294" s="1"/>
  <c r="H293"/>
  <c r="G293"/>
  <c r="J292"/>
  <c r="J291"/>
  <c r="J290"/>
  <c r="J289"/>
  <c r="J288"/>
  <c r="G287"/>
  <c r="J287" s="1"/>
  <c r="J286"/>
  <c r="J285"/>
  <c r="J284"/>
  <c r="J283"/>
  <c r="J282"/>
  <c r="J281"/>
  <c r="J280"/>
  <c r="J279"/>
  <c r="J278"/>
  <c r="J277"/>
  <c r="J276"/>
  <c r="J275"/>
  <c r="J274"/>
  <c r="J273"/>
  <c r="J229"/>
  <c r="J228"/>
  <c r="J227"/>
  <c r="J226"/>
  <c r="J225"/>
  <c r="J224"/>
  <c r="J223"/>
  <c r="J222"/>
  <c r="J221"/>
  <c r="J220"/>
  <c r="J219"/>
  <c r="J218"/>
  <c r="J217"/>
  <c r="J216"/>
  <c r="J215"/>
  <c r="J214"/>
  <c r="J213"/>
  <c r="J212"/>
  <c r="J211"/>
  <c r="J210"/>
  <c r="J209"/>
  <c r="J208"/>
  <c r="J207"/>
  <c r="J206"/>
  <c r="J205"/>
  <c r="J204"/>
  <c r="J203"/>
  <c r="J202"/>
  <c r="J201"/>
  <c r="J200"/>
  <c r="J199"/>
  <c r="J197"/>
  <c r="J196"/>
  <c r="J195"/>
  <c r="J194"/>
  <c r="J193"/>
  <c r="J192"/>
  <c r="J191"/>
  <c r="J190"/>
  <c r="J189"/>
  <c r="J188"/>
  <c r="J187"/>
  <c r="J186"/>
  <c r="J185"/>
  <c r="J184"/>
  <c r="J183"/>
  <c r="J182"/>
  <c r="J181"/>
  <c r="J180"/>
  <c r="J179"/>
  <c r="J178"/>
  <c r="J177"/>
  <c r="J176"/>
  <c r="J175"/>
  <c r="J174"/>
  <c r="J173"/>
  <c r="J172"/>
  <c r="J171"/>
  <c r="J170"/>
  <c r="J169"/>
  <c r="H163"/>
  <c r="G163"/>
  <c r="G162"/>
  <c r="J162" s="1"/>
  <c r="H161"/>
  <c r="G161"/>
  <c r="H160"/>
  <c r="G160"/>
  <c r="H159"/>
  <c r="G159"/>
  <c r="H158"/>
  <c r="G158"/>
  <c r="H157"/>
  <c r="G157"/>
  <c r="H156"/>
  <c r="G156"/>
  <c r="H155"/>
  <c r="G155"/>
  <c r="H154"/>
  <c r="G154"/>
  <c r="H153"/>
  <c r="G153"/>
  <c r="H152"/>
  <c r="G152"/>
  <c r="H151"/>
  <c r="G151"/>
  <c r="H150"/>
  <c r="G150"/>
  <c r="H149"/>
  <c r="G149"/>
  <c r="H148"/>
  <c r="G148"/>
  <c r="H147"/>
  <c r="G147"/>
  <c r="H146"/>
  <c r="H145"/>
  <c r="G145"/>
  <c r="H144"/>
  <c r="G144"/>
  <c r="H143"/>
  <c r="G143"/>
  <c r="H142"/>
  <c r="G142"/>
  <c r="H141"/>
  <c r="G141"/>
  <c r="H140"/>
  <c r="G140"/>
  <c r="H139"/>
  <c r="G139"/>
  <c r="H138"/>
  <c r="G138"/>
  <c r="J127"/>
  <c r="J103"/>
  <c r="J102"/>
  <c r="J101"/>
  <c r="J100"/>
  <c r="J99"/>
  <c r="J98"/>
  <c r="J97"/>
  <c r="J96"/>
  <c r="J95"/>
  <c r="J94"/>
  <c r="J93"/>
  <c r="J92"/>
  <c r="J91"/>
  <c r="J90"/>
  <c r="J89"/>
  <c r="J88"/>
  <c r="J87"/>
  <c r="J86"/>
  <c r="J85"/>
  <c r="J84"/>
  <c r="J83"/>
  <c r="J82"/>
  <c r="J81"/>
  <c r="J80"/>
  <c r="J79"/>
  <c r="J78"/>
  <c r="J77"/>
  <c r="J76"/>
  <c r="J75"/>
  <c r="J74"/>
  <c r="J73"/>
  <c r="J71"/>
  <c r="J70"/>
  <c r="J69"/>
  <c r="J68"/>
  <c r="J67"/>
  <c r="J66"/>
  <c r="J65"/>
  <c r="J64"/>
  <c r="J63"/>
  <c r="J62"/>
  <c r="J61"/>
  <c r="J60"/>
  <c r="J59"/>
  <c r="J58"/>
  <c r="J57"/>
  <c r="J56"/>
  <c r="J55"/>
  <c r="J54"/>
  <c r="J53"/>
  <c r="J52"/>
  <c r="J51"/>
  <c r="J50"/>
  <c r="J49"/>
  <c r="J48"/>
  <c r="J47"/>
  <c r="J46"/>
  <c r="J45"/>
  <c r="J44"/>
  <c r="J43"/>
  <c r="H36"/>
  <c r="G36"/>
  <c r="G35"/>
  <c r="J35" s="1"/>
  <c r="H34"/>
  <c r="G34"/>
  <c r="H33"/>
  <c r="G33"/>
  <c r="H32"/>
  <c r="G32"/>
  <c r="H31"/>
  <c r="G31"/>
  <c r="H30"/>
  <c r="G30"/>
  <c r="H29"/>
  <c r="G29"/>
  <c r="H28"/>
  <c r="G28"/>
  <c r="H27"/>
  <c r="G27"/>
  <c r="H26"/>
  <c r="G26"/>
  <c r="H25"/>
  <c r="G25"/>
  <c r="H24"/>
  <c r="G24"/>
  <c r="H23"/>
  <c r="G23"/>
  <c r="H22"/>
  <c r="G22"/>
  <c r="H21"/>
  <c r="G21"/>
  <c r="H20"/>
  <c r="G20"/>
  <c r="H19"/>
  <c r="H18"/>
  <c r="G18"/>
  <c r="H17"/>
  <c r="G17"/>
  <c r="H16"/>
  <c r="G16"/>
  <c r="H15"/>
  <c r="G15"/>
  <c r="H14"/>
  <c r="G14"/>
  <c r="H13"/>
  <c r="G13"/>
  <c r="H12"/>
  <c r="G12"/>
  <c r="H11"/>
  <c r="G11"/>
  <c r="A5"/>
  <c r="A135" s="1"/>
  <c r="A302" s="1"/>
  <c r="A311" s="1"/>
  <c r="A319" s="1"/>
  <c r="A426" s="1"/>
  <c r="A432" s="1"/>
  <c r="J1751" l="1"/>
  <c r="J2896"/>
  <c r="J2359"/>
  <c r="J2360" s="1"/>
  <c r="B171" i="9" s="1"/>
  <c r="B13"/>
  <c r="J2664" i="30"/>
  <c r="J2665" s="1"/>
  <c r="B180" i="9" s="1"/>
  <c r="J1195" i="30"/>
  <c r="J1196" s="1"/>
  <c r="B53" i="9" s="1"/>
  <c r="A1044" i="30"/>
  <c r="A1047" s="1"/>
  <c r="A1049" s="1"/>
  <c r="A1066" s="1"/>
  <c r="A1718" s="1"/>
  <c r="A1722" s="1"/>
  <c r="A1756" s="1"/>
  <c r="A1940" s="1"/>
  <c r="A615"/>
  <c r="J2214"/>
  <c r="J725"/>
  <c r="J726" s="1"/>
  <c r="J2247"/>
  <c r="J2248" s="1"/>
  <c r="B160" i="9" s="1"/>
  <c r="J1986" i="30"/>
  <c r="B111" i="9" s="1"/>
  <c r="J1990" i="30"/>
  <c r="B112" i="9" s="1"/>
  <c r="J2150" i="30"/>
  <c r="J2151" s="1"/>
  <c r="J2192"/>
  <c r="J2193" s="1"/>
  <c r="B155" i="9" s="1"/>
  <c r="J2164" i="30"/>
  <c r="J2165" s="1"/>
  <c r="J2167" s="1"/>
  <c r="J2170" s="1"/>
  <c r="F2095"/>
  <c r="J2095" s="1"/>
  <c r="B126" i="9"/>
  <c r="F2093" i="30"/>
  <c r="J2093" s="1"/>
  <c r="B122" i="9"/>
  <c r="F2094" i="30"/>
  <c r="J2094" s="1"/>
  <c r="B121" i="9"/>
  <c r="J2091" i="30"/>
  <c r="J460"/>
  <c r="J436"/>
  <c r="J438"/>
  <c r="J440"/>
  <c r="J442"/>
  <c r="J444"/>
  <c r="J446"/>
  <c r="J448"/>
  <c r="J450"/>
  <c r="J452"/>
  <c r="J454"/>
  <c r="J456"/>
  <c r="J458"/>
  <c r="J437"/>
  <c r="J439"/>
  <c r="J441"/>
  <c r="J443"/>
  <c r="J445"/>
  <c r="J447"/>
  <c r="J449"/>
  <c r="J451"/>
  <c r="J453"/>
  <c r="J455"/>
  <c r="J457"/>
  <c r="B159" i="9"/>
  <c r="J555" i="30"/>
  <c r="J556" s="1"/>
  <c r="J2325"/>
  <c r="J2326" s="1"/>
  <c r="B168" i="9" s="1"/>
  <c r="J2199" i="30"/>
  <c r="J2200" s="1"/>
  <c r="B156" i="9" s="1"/>
  <c r="J3013" i="30"/>
  <c r="J3014" s="1"/>
  <c r="B211" i="9" s="1"/>
  <c r="J1701" i="30"/>
  <c r="J1702" s="1"/>
  <c r="B56" i="9" s="1"/>
  <c r="J1671" i="30"/>
  <c r="J1672" s="1"/>
  <c r="J1359"/>
  <c r="J1360" s="1"/>
  <c r="J1007"/>
  <c r="J1008" s="1"/>
  <c r="J995"/>
  <c r="J996" s="1"/>
  <c r="J1027"/>
  <c r="J1028" s="1"/>
  <c r="J1338"/>
  <c r="J1339" s="1"/>
  <c r="G1478" s="1"/>
  <c r="J1478" s="1"/>
  <c r="J1322"/>
  <c r="J1323" s="1"/>
  <c r="J597"/>
  <c r="J598" s="1"/>
  <c r="J1039"/>
  <c r="J1040" s="1"/>
  <c r="J760"/>
  <c r="J761" s="1"/>
  <c r="J1539"/>
  <c r="J1540" s="1"/>
  <c r="J707"/>
  <c r="J708" s="1"/>
  <c r="J873"/>
  <c r="J874" s="1"/>
  <c r="J944" s="1"/>
  <c r="J888"/>
  <c r="J889" s="1"/>
  <c r="J947" s="1"/>
  <c r="J940"/>
  <c r="J941" s="1"/>
  <c r="J1022"/>
  <c r="J1023" s="1"/>
  <c r="J1366"/>
  <c r="J1367" s="1"/>
  <c r="J1461"/>
  <c r="J1462" s="1"/>
  <c r="J908"/>
  <c r="J909" s="1"/>
  <c r="J1299"/>
  <c r="J1300" s="1"/>
  <c r="J603"/>
  <c r="J604" s="1"/>
  <c r="J739"/>
  <c r="J740" s="1"/>
  <c r="J771"/>
  <c r="J772" s="1"/>
  <c r="J787"/>
  <c r="J788" s="1"/>
  <c r="J808"/>
  <c r="J809" s="1"/>
  <c r="J914"/>
  <c r="J915" s="1"/>
  <c r="J1016"/>
  <c r="J1017" s="1"/>
  <c r="J1032"/>
  <c r="J1033" s="1"/>
  <c r="J1475"/>
  <c r="J1476" s="1"/>
  <c r="G1506" s="1"/>
  <c r="J1506" s="1"/>
  <c r="J321"/>
  <c r="J322"/>
  <c r="J324"/>
  <c r="J323"/>
  <c r="J3153"/>
  <c r="J3154" s="1"/>
  <c r="J2832"/>
  <c r="J2367"/>
  <c r="J2368" s="1"/>
  <c r="B173" i="9" s="1"/>
  <c r="J2377" i="30"/>
  <c r="J2378" s="1"/>
  <c r="B175" i="9" s="1"/>
  <c r="J2014" i="30"/>
  <c r="J2044"/>
  <c r="J2034"/>
  <c r="B123" i="9" s="1"/>
  <c r="J959" i="30"/>
  <c r="J3064"/>
  <c r="J3065" s="1"/>
  <c r="B230" i="9" s="1"/>
  <c r="J1823" i="30"/>
  <c r="J1825"/>
  <c r="J1828"/>
  <c r="J1840"/>
  <c r="J1836"/>
  <c r="J1838"/>
  <c r="J1842"/>
  <c r="J1824"/>
  <c r="J1829"/>
  <c r="J1835"/>
  <c r="J1819"/>
  <c r="J1821"/>
  <c r="J1831"/>
  <c r="J1837"/>
  <c r="J1839"/>
  <c r="J1841"/>
  <c r="J1833"/>
  <c r="J429"/>
  <c r="B30" i="9" s="1"/>
  <c r="J2065" i="30"/>
  <c r="J2066" s="1"/>
  <c r="B130" i="9" s="1"/>
  <c r="J2111" i="30"/>
  <c r="J2112" s="1"/>
  <c r="B138" i="9" s="1"/>
  <c r="J2393" i="30"/>
  <c r="J2421"/>
  <c r="J2968"/>
  <c r="J2970"/>
  <c r="J2972"/>
  <c r="J2974"/>
  <c r="J11"/>
  <c r="J27"/>
  <c r="J140"/>
  <c r="J148"/>
  <c r="J150"/>
  <c r="J152"/>
  <c r="J154"/>
  <c r="J156"/>
  <c r="J2976"/>
  <c r="J340"/>
  <c r="J621"/>
  <c r="J160"/>
  <c r="J2272"/>
  <c r="J435"/>
  <c r="J1768"/>
  <c r="J2276"/>
  <c r="J2295"/>
  <c r="J2741"/>
  <c r="J2978"/>
  <c r="J2739"/>
  <c r="J2572"/>
  <c r="J2423"/>
  <c r="J2774"/>
  <c r="J2742"/>
  <c r="J2777"/>
  <c r="J2971"/>
  <c r="J1913"/>
  <c r="J623"/>
  <c r="J1614"/>
  <c r="J1616"/>
  <c r="J1620"/>
  <c r="J2424"/>
  <c r="J36"/>
  <c r="J1604"/>
  <c r="J1896"/>
  <c r="J1909"/>
  <c r="J1911"/>
  <c r="J2779"/>
  <c r="J141"/>
  <c r="J325"/>
  <c r="J327"/>
  <c r="J341"/>
  <c r="J343"/>
  <c r="J1553"/>
  <c r="J1554" s="1"/>
  <c r="J1605"/>
  <c r="J1895"/>
  <c r="J2277"/>
  <c r="J2279"/>
  <c r="J2294"/>
  <c r="J2672"/>
  <c r="J2675"/>
  <c r="J2681"/>
  <c r="J2912"/>
  <c r="J2914"/>
  <c r="J2916"/>
  <c r="J2922"/>
  <c r="J2924"/>
  <c r="J2926"/>
  <c r="J2928"/>
  <c r="J2930"/>
  <c r="J2932"/>
  <c r="J2980"/>
  <c r="J3099"/>
  <c r="J3100" s="1"/>
  <c r="B239" i="9" s="1"/>
  <c r="J151" i="30"/>
  <c r="J1548"/>
  <c r="J1549" s="1"/>
  <c r="J1615"/>
  <c r="J1771"/>
  <c r="J1780"/>
  <c r="J2962"/>
  <c r="J24"/>
  <c r="J28"/>
  <c r="J30"/>
  <c r="J32"/>
  <c r="J34"/>
  <c r="J144"/>
  <c r="J563"/>
  <c r="J1769"/>
  <c r="J1777"/>
  <c r="J2269"/>
  <c r="J2728"/>
  <c r="J2782"/>
  <c r="J2925"/>
  <c r="J2961"/>
  <c r="J29"/>
  <c r="J33"/>
  <c r="J139"/>
  <c r="J2275"/>
  <c r="J12"/>
  <c r="J14"/>
  <c r="J16"/>
  <c r="J18"/>
  <c r="J20"/>
  <c r="J161"/>
  <c r="J344"/>
  <c r="J781"/>
  <c r="J1783"/>
  <c r="J1772"/>
  <c r="J1915"/>
  <c r="J138"/>
  <c r="J145"/>
  <c r="J331"/>
  <c r="J335"/>
  <c r="J1606"/>
  <c r="J1609"/>
  <c r="J1611"/>
  <c r="J1784"/>
  <c r="J1789"/>
  <c r="J1885"/>
  <c r="J1894"/>
  <c r="J2267"/>
  <c r="J2395"/>
  <c r="J2426"/>
  <c r="J2920"/>
  <c r="J2936"/>
  <c r="J2955"/>
  <c r="J2969"/>
  <c r="J2977"/>
  <c r="J3004"/>
  <c r="B209" i="9" s="1"/>
  <c r="J2740" i="30"/>
  <c r="J2966"/>
  <c r="J13"/>
  <c r="J17"/>
  <c r="J23"/>
  <c r="J157"/>
  <c r="J159"/>
  <c r="J163"/>
  <c r="J328"/>
  <c r="J330"/>
  <c r="J332"/>
  <c r="J334"/>
  <c r="J336"/>
  <c r="J338"/>
  <c r="J1610"/>
  <c r="J1617"/>
  <c r="J1632"/>
  <c r="J1883"/>
  <c r="J1884"/>
  <c r="J2394"/>
  <c r="J2570"/>
  <c r="J2683"/>
  <c r="J2689"/>
  <c r="J2706"/>
  <c r="J2712"/>
  <c r="J2735"/>
  <c r="J2772"/>
  <c r="J2778"/>
  <c r="J2780"/>
  <c r="J2919"/>
  <c r="J2956"/>
  <c r="J2958"/>
  <c r="J2960"/>
  <c r="J3027"/>
  <c r="J3028" s="1"/>
  <c r="B213" i="9" s="1"/>
  <c r="J293" i="30"/>
  <c r="J299" s="1"/>
  <c r="J21"/>
  <c r="J143"/>
  <c r="J15"/>
  <c r="J22"/>
  <c r="J25"/>
  <c r="J31"/>
  <c r="J142"/>
  <c r="J147"/>
  <c r="J149"/>
  <c r="J158"/>
  <c r="J326"/>
  <c r="J329"/>
  <c r="J346"/>
  <c r="J19"/>
  <c r="J26"/>
  <c r="J146"/>
  <c r="J153"/>
  <c r="J155"/>
  <c r="J333"/>
  <c r="J337"/>
  <c r="J339"/>
  <c r="J1612"/>
  <c r="J1608"/>
  <c r="J1619"/>
  <c r="J2420"/>
  <c r="J2913"/>
  <c r="J2959"/>
  <c r="J342"/>
  <c r="J567"/>
  <c r="J1607"/>
  <c r="J1618"/>
  <c r="J1624"/>
  <c r="J1628"/>
  <c r="J1630"/>
  <c r="J1717"/>
  <c r="B57" i="9" s="1"/>
  <c r="J1773" i="30"/>
  <c r="J1775"/>
  <c r="J2263"/>
  <c r="J2266"/>
  <c r="J2268"/>
  <c r="J2389"/>
  <c r="J2678"/>
  <c r="J2734"/>
  <c r="J565"/>
  <c r="J625"/>
  <c r="J1560"/>
  <c r="J1561" s="1"/>
  <c r="J1613"/>
  <c r="J1910"/>
  <c r="J2054"/>
  <c r="J2055" s="1"/>
  <c r="B127" i="9" s="1"/>
  <c r="J2129" i="30"/>
  <c r="J2130" s="1"/>
  <c r="B152" i="9" s="1"/>
  <c r="J2396" i="30"/>
  <c r="J2416"/>
  <c r="J2418"/>
  <c r="J2692"/>
  <c r="J2709"/>
  <c r="J2929"/>
  <c r="J2975"/>
  <c r="J2917"/>
  <c r="J2933"/>
  <c r="J2963"/>
  <c r="J1778"/>
  <c r="J1897"/>
  <c r="J2271"/>
  <c r="J2383"/>
  <c r="J2391"/>
  <c r="J2397"/>
  <c r="J2417"/>
  <c r="J2571"/>
  <c r="J2738"/>
  <c r="J2773"/>
  <c r="J2781"/>
  <c r="J2911"/>
  <c r="J2918"/>
  <c r="J2921"/>
  <c r="J2927"/>
  <c r="J2934"/>
  <c r="J2964"/>
  <c r="J2967"/>
  <c r="J314"/>
  <c r="J315" s="1"/>
  <c r="J316" s="1"/>
  <c r="B26" i="9" s="1"/>
  <c r="J1494" i="30"/>
  <c r="J1495" s="1"/>
  <c r="G1510" s="1"/>
  <c r="J1510" s="1"/>
  <c r="J1779"/>
  <c r="J1765"/>
  <c r="J1774"/>
  <c r="J1785"/>
  <c r="J2278"/>
  <c r="J2280"/>
  <c r="J2390"/>
  <c r="J2422"/>
  <c r="J2425"/>
  <c r="J2670"/>
  <c r="J2686"/>
  <c r="J2736"/>
  <c r="J2915"/>
  <c r="J2931"/>
  <c r="J2957"/>
  <c r="J2973"/>
  <c r="J2274"/>
  <c r="J2569"/>
  <c r="J2776"/>
  <c r="J2923"/>
  <c r="J2965"/>
  <c r="J2600" l="1"/>
  <c r="J2601" s="1"/>
  <c r="J2900" s="1"/>
  <c r="J2298"/>
  <c r="J2299" s="1"/>
  <c r="B165" i="9" s="1"/>
  <c r="J2806" i="30"/>
  <c r="J2454"/>
  <c r="J2455" s="1"/>
  <c r="J1814"/>
  <c r="J1815" s="1"/>
  <c r="B73" i="9" s="1"/>
  <c r="J424" i="30"/>
  <c r="J425" s="1"/>
  <c r="J305" s="1"/>
  <c r="J1368"/>
  <c r="J268"/>
  <c r="J269" s="1"/>
  <c r="B19" i="9" s="1"/>
  <c r="J638" i="30"/>
  <c r="J639" s="1"/>
  <c r="J790" s="1"/>
  <c r="J580"/>
  <c r="J581" s="1"/>
  <c r="J110"/>
  <c r="J469"/>
  <c r="J470" s="1"/>
  <c r="J1639"/>
  <c r="J1640" s="1"/>
  <c r="J1621"/>
  <c r="J1622" s="1"/>
  <c r="J2172"/>
  <c r="J2991"/>
  <c r="J2992" s="1"/>
  <c r="B120" i="9"/>
  <c r="F2089" i="30"/>
  <c r="J2089" s="1"/>
  <c r="G1058"/>
  <c r="G1060"/>
  <c r="B125" i="9"/>
  <c r="F2090" i="30"/>
  <c r="J2090" s="1"/>
  <c r="G1052"/>
  <c r="J2721"/>
  <c r="J2722" s="1"/>
  <c r="B181" i="9" s="1"/>
  <c r="A1951" i="30"/>
  <c r="A1965" s="1"/>
  <c r="A1978" s="1"/>
  <c r="A1981" s="1"/>
  <c r="J2938"/>
  <c r="J2939" s="1"/>
  <c r="B196" i="9" s="1"/>
  <c r="J1850" i="30"/>
  <c r="J1851" s="1"/>
  <c r="J1862" s="1"/>
  <c r="J1501"/>
  <c r="J1563"/>
  <c r="G1504"/>
  <c r="J1504" s="1"/>
  <c r="J1042"/>
  <c r="B45" i="9" s="1"/>
  <c r="J892" i="30"/>
  <c r="J950" s="1"/>
  <c r="J965"/>
  <c r="J953"/>
  <c r="J983"/>
  <c r="J956"/>
  <c r="J300"/>
  <c r="B20" i="9" s="1"/>
  <c r="J1888" i="30"/>
  <c r="J1889" s="1"/>
  <c r="B77" i="9" s="1"/>
  <c r="J1919" i="30"/>
  <c r="J1920" s="1"/>
  <c r="J1903"/>
  <c r="J1904" s="1"/>
  <c r="B79" i="9" s="1"/>
  <c r="G1508" i="30"/>
  <c r="J1508" s="1"/>
  <c r="J613" l="1"/>
  <c r="B33" i="9" s="1"/>
  <c r="J1674" i="30"/>
  <c r="B55" i="9" s="1"/>
  <c r="J921" i="30"/>
  <c r="B42" i="9" s="1"/>
  <c r="A1995" i="30"/>
  <c r="A2008" s="1"/>
  <c r="A2048" s="1"/>
  <c r="A2057" s="1"/>
  <c r="A2067" s="1"/>
  <c r="A2072" s="1"/>
  <c r="A2088" s="1"/>
  <c r="A2105" s="1"/>
  <c r="A2114" s="1"/>
  <c r="A2127" s="1"/>
  <c r="A2131" s="1"/>
  <c r="A2174" s="1"/>
  <c r="A2194" s="1"/>
  <c r="A2202" s="1"/>
  <c r="A2217" s="1"/>
  <c r="A2219" s="1"/>
  <c r="A2242" s="1"/>
  <c r="A2249" s="1"/>
  <c r="A2251" s="1"/>
  <c r="A2258" s="1"/>
  <c r="A2301" s="1"/>
  <c r="A2303" s="1"/>
  <c r="A2305" s="1"/>
  <c r="A2328" s="1"/>
  <c r="A2361" s="1"/>
  <c r="A2369" s="1"/>
  <c r="A2375" s="1"/>
  <c r="A2380" s="1"/>
  <c r="A2457" s="1"/>
  <c r="A2603" s="1"/>
  <c r="A2667" s="1"/>
  <c r="J1864"/>
  <c r="J1872" s="1"/>
  <c r="B74" i="9"/>
  <c r="G1061" i="30"/>
  <c r="G1051"/>
  <c r="G1053"/>
  <c r="J2101"/>
  <c r="J2102" s="1"/>
  <c r="B133" i="9" s="1"/>
  <c r="B178"/>
  <c r="J1514" i="30"/>
  <c r="J961"/>
  <c r="B43" i="9" s="1"/>
  <c r="B41"/>
  <c r="J306" i="30"/>
  <c r="J304"/>
  <c r="B29" i="9"/>
  <c r="J968" i="30"/>
  <c r="J971"/>
  <c r="J977"/>
  <c r="J980"/>
  <c r="G1057" s="1"/>
  <c r="B187" i="9"/>
  <c r="B179"/>
  <c r="J1923" i="30"/>
  <c r="B80" i="9"/>
  <c r="J1565" i="30" l="1"/>
  <c r="B54" i="9" s="1"/>
  <c r="A2725" i="30"/>
  <c r="A2809" s="1"/>
  <c r="A2835" s="1"/>
  <c r="A2899" s="1"/>
  <c r="A2901" s="1"/>
  <c r="A2905" s="1"/>
  <c r="A2941" s="1"/>
  <c r="A2993" s="1"/>
  <c r="A3006" s="1"/>
  <c r="A3016" s="1"/>
  <c r="A3019" s="1"/>
  <c r="A3030" s="1"/>
  <c r="A3039" s="1"/>
  <c r="A3051" s="1"/>
  <c r="A3066" s="1"/>
  <c r="A3082" s="1"/>
  <c r="A3087" s="1"/>
  <c r="A3093" s="1"/>
  <c r="A3095" s="1"/>
  <c r="A3101" s="1"/>
  <c r="A3110" s="1"/>
  <c r="A3112" s="1"/>
  <c r="A3123" s="1"/>
  <c r="A3126" s="1"/>
  <c r="J1874"/>
  <c r="B75" i="9"/>
  <c r="G1056" i="30"/>
  <c r="G1054"/>
  <c r="G1055"/>
  <c r="J974"/>
  <c r="J1926"/>
  <c r="B82" i="9" s="1"/>
  <c r="B81"/>
  <c r="J1881" i="30" l="1"/>
  <c r="B76" i="9" s="1"/>
  <c r="A3156" i="30"/>
  <c r="A3160" s="1"/>
  <c r="A3226" s="1"/>
  <c r="G1059"/>
  <c r="J985"/>
  <c r="B44" i="9" s="1"/>
  <c r="D4" i="12" l="1"/>
  <c r="H15" i="11" l="1"/>
  <c r="H10"/>
  <c r="H9"/>
  <c r="H8"/>
  <c r="H7"/>
  <c r="H6"/>
  <c r="H5"/>
  <c r="H4"/>
  <c r="J10" i="29" l="1"/>
  <c r="H10"/>
  <c r="E129" i="10"/>
  <c r="G129" s="1"/>
  <c r="F10" i="29" l="1"/>
  <c r="K10"/>
  <c r="E613" i="10" s="1"/>
  <c r="G613" s="1"/>
  <c r="B10" i="29"/>
  <c r="B9"/>
  <c r="B8"/>
  <c r="B7"/>
  <c r="F9"/>
  <c r="H9"/>
  <c r="J9"/>
  <c r="K9"/>
  <c r="E612" i="10" s="1"/>
  <c r="G612" s="1"/>
  <c r="E122" i="9" s="1"/>
  <c r="F8" i="29"/>
  <c r="H8"/>
  <c r="J8"/>
  <c r="K8"/>
  <c r="E611" i="10" s="1"/>
  <c r="G611" s="1"/>
  <c r="E121" i="9" s="1"/>
  <c r="F7" i="29"/>
  <c r="H7"/>
  <c r="J7"/>
  <c r="K7"/>
  <c r="E610" i="10" s="1"/>
  <c r="G610" s="1"/>
  <c r="E120" i="9" s="1"/>
  <c r="F12" i="29" l="1"/>
  <c r="G614" i="10"/>
  <c r="F121" i="9"/>
  <c r="F122"/>
  <c r="J12" i="29"/>
  <c r="H12"/>
  <c r="B6"/>
  <c r="F14" i="23" l="1"/>
  <c r="H14"/>
  <c r="J14"/>
  <c r="K14"/>
  <c r="E607" i="10" s="1"/>
  <c r="J144" i="26" l="1"/>
  <c r="D11" i="34" s="1"/>
  <c r="F11" s="1"/>
  <c r="J54" i="26"/>
  <c r="J53"/>
  <c r="J56"/>
  <c r="J52"/>
  <c r="J47"/>
  <c r="J48" s="1"/>
  <c r="D6" i="34" s="1"/>
  <c r="F6" s="1"/>
  <c r="J32" i="26"/>
  <c r="J28"/>
  <c r="J29"/>
  <c r="J30"/>
  <c r="J31"/>
  <c r="J20"/>
  <c r="J7"/>
  <c r="J8" s="1"/>
  <c r="D6" i="33" s="1"/>
  <c r="F6" s="1"/>
  <c r="A1" i="26"/>
  <c r="J69" l="1"/>
  <c r="D8" i="34" s="1"/>
  <c r="F8" s="1"/>
  <c r="J33" i="26"/>
  <c r="D9" i="33" s="1"/>
  <c r="F9" s="1"/>
  <c r="F13" s="1"/>
  <c r="F14" s="1"/>
  <c r="F15" s="1"/>
  <c r="C43" i="8" s="1"/>
  <c r="J119" i="26"/>
  <c r="D10" i="34" s="1"/>
  <c r="F10" s="1"/>
  <c r="E641" i="10"/>
  <c r="G641" s="1"/>
  <c r="E640"/>
  <c r="G640" s="1"/>
  <c r="E173"/>
  <c r="G173" s="1"/>
  <c r="F12" i="34" l="1"/>
  <c r="F13" s="1"/>
  <c r="F14" s="1"/>
  <c r="C42" i="8" s="1"/>
  <c r="G645" i="10"/>
  <c r="E133" i="9" s="1"/>
  <c r="K67" i="24"/>
  <c r="E128" i="10" l="1"/>
  <c r="G128" s="1"/>
  <c r="G65"/>
  <c r="I15" i="11"/>
  <c r="E1131" i="10" s="1"/>
  <c r="G1131" s="1"/>
  <c r="G1132" s="1"/>
  <c r="G1133" s="1"/>
  <c r="E1169" s="1"/>
  <c r="G1169" s="1"/>
  <c r="G1174" s="1"/>
  <c r="G1175" s="1"/>
  <c r="E265" i="9" s="1"/>
  <c r="F265" s="1"/>
  <c r="E50" i="12"/>
  <c r="E49"/>
  <c r="E48"/>
  <c r="E121" i="10" l="1"/>
  <c r="A33" i="12"/>
  <c r="A34" s="1"/>
  <c r="A35" s="1"/>
  <c r="A36" s="1"/>
  <c r="A39" s="1"/>
  <c r="A40" s="1"/>
  <c r="A41" s="1"/>
  <c r="A43" s="1"/>
  <c r="A44" s="1"/>
  <c r="A45" s="1"/>
  <c r="A46" s="1"/>
  <c r="A47" s="1"/>
  <c r="A48" s="1"/>
  <c r="A49" s="1"/>
  <c r="A50" s="1"/>
  <c r="D606" i="10"/>
  <c r="G607"/>
  <c r="E118" i="9" s="1"/>
  <c r="K77" i="24"/>
  <c r="J77"/>
  <c r="H77"/>
  <c r="F77"/>
  <c r="K71"/>
  <c r="E934" i="10" s="1"/>
  <c r="J71" i="24"/>
  <c r="H71"/>
  <c r="F71"/>
  <c r="K70"/>
  <c r="E930" i="10" s="1"/>
  <c r="J70" i="24"/>
  <c r="H70"/>
  <c r="F70"/>
  <c r="K68"/>
  <c r="E852" i="10" s="1"/>
  <c r="J68" i="24"/>
  <c r="H68"/>
  <c r="F68"/>
  <c r="J67"/>
  <c r="H67"/>
  <c r="F67"/>
  <c r="K65"/>
  <c r="E885" i="10" s="1"/>
  <c r="J65" i="24"/>
  <c r="H65"/>
  <c r="F65"/>
  <c r="K64"/>
  <c r="E887" i="10" s="1"/>
  <c r="J64" i="24"/>
  <c r="H64"/>
  <c r="F64"/>
  <c r="K63"/>
  <c r="E870" i="10" s="1"/>
  <c r="J63" i="24"/>
  <c r="H63"/>
  <c r="F63"/>
  <c r="K61"/>
  <c r="J61"/>
  <c r="H61"/>
  <c r="F61"/>
  <c r="K60"/>
  <c r="E821" i="10" s="1"/>
  <c r="J60" i="24"/>
  <c r="H60"/>
  <c r="F60"/>
  <c r="K59"/>
  <c r="J59"/>
  <c r="H59"/>
  <c r="F59"/>
  <c r="K58"/>
  <c r="E681" i="10" s="1"/>
  <c r="J58" i="24"/>
  <c r="H58"/>
  <c r="F58"/>
  <c r="K57"/>
  <c r="E678" i="10" s="1"/>
  <c r="J57" i="24"/>
  <c r="H57"/>
  <c r="F57"/>
  <c r="K52"/>
  <c r="E1024" i="10" s="1"/>
  <c r="J52" i="24"/>
  <c r="H52"/>
  <c r="F52"/>
  <c r="K44"/>
  <c r="E1014" i="10" s="1"/>
  <c r="J44" i="24"/>
  <c r="H44"/>
  <c r="F44"/>
  <c r="K39"/>
  <c r="E1006" i="10" s="1"/>
  <c r="J39" i="24"/>
  <c r="H39"/>
  <c r="F39"/>
  <c r="K34"/>
  <c r="E998" i="10" s="1"/>
  <c r="J34" i="24"/>
  <c r="H34"/>
  <c r="F34"/>
  <c r="K33"/>
  <c r="E995" i="10" s="1"/>
  <c r="J33" i="24"/>
  <c r="H33"/>
  <c r="F33"/>
  <c r="K32"/>
  <c r="E987" i="10" s="1"/>
  <c r="J32" i="24"/>
  <c r="H32"/>
  <c r="F32"/>
  <c r="K26"/>
  <c r="E978" i="10" s="1"/>
  <c r="J26" i="24"/>
  <c r="H26"/>
  <c r="F26"/>
  <c r="K19"/>
  <c r="E968" i="10" s="1"/>
  <c r="J19" i="24"/>
  <c r="H19"/>
  <c r="F19"/>
  <c r="K12"/>
  <c r="E347" i="10" s="1"/>
  <c r="J12" i="24"/>
  <c r="H12"/>
  <c r="F12"/>
  <c r="K11"/>
  <c r="E345" i="10" s="1"/>
  <c r="J11" i="24"/>
  <c r="H11"/>
  <c r="F11"/>
  <c r="K8"/>
  <c r="E139" i="10" s="1"/>
  <c r="J8" i="24"/>
  <c r="H8"/>
  <c r="F8"/>
  <c r="K13" i="23"/>
  <c r="E605" i="10" s="1"/>
  <c r="J13" i="23"/>
  <c r="H13"/>
  <c r="F13"/>
  <c r="K9"/>
  <c r="E1086" i="10" s="1"/>
  <c r="J9" i="23"/>
  <c r="H9"/>
  <c r="F9"/>
  <c r="K7"/>
  <c r="E1083" i="10" s="1"/>
  <c r="J7" i="23"/>
  <c r="J15" s="1"/>
  <c r="H7"/>
  <c r="H15" s="1"/>
  <c r="F7"/>
  <c r="F15" s="1"/>
  <c r="G887" i="10" l="1"/>
  <c r="E175" i="9" s="1"/>
  <c r="D886" i="10"/>
  <c r="G885"/>
  <c r="E174" i="9" s="1"/>
  <c r="G821" i="10"/>
  <c r="E162" i="9" s="1"/>
  <c r="F118" l="1"/>
  <c r="E806" i="10" l="1"/>
  <c r="E64" i="9" l="1"/>
  <c r="E63"/>
  <c r="E289" s="1"/>
  <c r="F289" s="1"/>
  <c r="G870" i="10" l="1"/>
  <c r="E171" i="9" s="1"/>
  <c r="E842" i="10" l="1"/>
  <c r="G681" l="1"/>
  <c r="E152" i="9" s="1"/>
  <c r="D680" i="10"/>
  <c r="G678"/>
  <c r="E150" i="9" s="1"/>
  <c r="D677" i="10"/>
  <c r="D676"/>
  <c r="D675"/>
  <c r="D674"/>
  <c r="D673"/>
  <c r="D672"/>
  <c r="D671"/>
  <c r="D670"/>
  <c r="D669"/>
  <c r="D668"/>
  <c r="D667"/>
  <c r="G934"/>
  <c r="E185" i="9" s="1"/>
  <c r="G930" i="10"/>
  <c r="E184" i="9" s="1"/>
  <c r="G347" i="10"/>
  <c r="G345"/>
  <c r="F64" i="9"/>
  <c r="E526" i="10" l="1"/>
  <c r="E533" s="1"/>
  <c r="E228" l="1"/>
  <c r="E251" i="9"/>
  <c r="E249"/>
  <c r="G1086" i="10"/>
  <c r="G1083"/>
  <c r="D1085"/>
  <c r="D1084"/>
  <c r="D1082"/>
  <c r="D445" l="1"/>
  <c r="G415"/>
  <c r="G385" l="1"/>
  <c r="E1053" l="1"/>
  <c r="E47" i="12"/>
  <c r="E1069" i="10" s="1"/>
  <c r="E1068"/>
  <c r="E633"/>
  <c r="E1061"/>
  <c r="E256"/>
  <c r="E255"/>
  <c r="E1031"/>
  <c r="E1041"/>
  <c r="E1037"/>
  <c r="G1093"/>
  <c r="E255" i="9" s="1"/>
  <c r="D1092" i="10"/>
  <c r="G1090"/>
  <c r="E254" i="9" s="1"/>
  <c r="F254" s="1"/>
  <c r="D1089" i="10"/>
  <c r="D1088"/>
  <c r="D1081"/>
  <c r="E958"/>
  <c r="E950"/>
  <c r="F249" i="9" l="1"/>
  <c r="F251"/>
  <c r="F255"/>
  <c r="E859" i="10"/>
  <c r="E809"/>
  <c r="E793"/>
  <c r="E775"/>
  <c r="E772"/>
  <c r="E757"/>
  <c r="E739"/>
  <c r="E722"/>
  <c r="F252" i="9" l="1"/>
  <c r="F256"/>
  <c r="C44" i="8" s="1"/>
  <c r="F152" i="9"/>
  <c r="F150"/>
  <c r="I11" i="11"/>
  <c r="E939" i="10" s="1"/>
  <c r="G939" s="1"/>
  <c r="E629"/>
  <c r="E626"/>
  <c r="E622" l="1"/>
  <c r="G353"/>
  <c r="E352"/>
  <c r="D349"/>
  <c r="E243" l="1"/>
  <c r="I14" i="11" l="1"/>
  <c r="I10"/>
  <c r="I9"/>
  <c r="E195" i="10" s="1"/>
  <c r="G195" s="1"/>
  <c r="I4" i="11"/>
  <c r="I8"/>
  <c r="I5"/>
  <c r="E1185" i="10" s="1"/>
  <c r="G1185" s="1"/>
  <c r="I6" i="11"/>
  <c r="I7"/>
  <c r="E196" i="10" s="1"/>
  <c r="G196" s="1"/>
  <c r="I13" i="11"/>
  <c r="A18" i="9"/>
  <c r="E168" i="10" l="1"/>
  <c r="G168" s="1"/>
  <c r="E197"/>
  <c r="G197" s="1"/>
  <c r="E198"/>
  <c r="G198" s="1"/>
  <c r="E710"/>
  <c r="G710" s="1"/>
  <c r="E687"/>
  <c r="G687" s="1"/>
  <c r="E244"/>
  <c r="G244" s="1"/>
  <c r="A112"/>
  <c r="D59" l="1"/>
  <c r="F175" i="9" l="1"/>
  <c r="A1" l="1"/>
  <c r="D1056" i="10" l="1"/>
  <c r="G1069" l="1"/>
  <c r="B1070"/>
  <c r="G1068"/>
  <c r="D1067"/>
  <c r="J1060" i="30" l="1"/>
  <c r="G533" i="10" l="1"/>
  <c r="G526"/>
  <c r="A2" i="13" l="1"/>
  <c r="A1"/>
  <c r="A1" i="12"/>
  <c r="A1" i="11"/>
  <c r="A1" i="10"/>
  <c r="D1036" l="1"/>
  <c r="D932"/>
  <c r="G852"/>
  <c r="E167" i="9" s="1"/>
  <c r="D851" i="10"/>
  <c r="F120" i="9" l="1"/>
  <c r="J1057" i="30" l="1"/>
  <c r="E4" i="12"/>
  <c r="E5"/>
  <c r="E6"/>
  <c r="E7"/>
  <c r="E8"/>
  <c r="E9"/>
  <c r="E709" i="10" s="1"/>
  <c r="G709" s="1"/>
  <c r="E10" i="12"/>
  <c r="E11"/>
  <c r="E12"/>
  <c r="E13"/>
  <c r="E290" i="10" s="1"/>
  <c r="G290" s="1"/>
  <c r="E14" i="12"/>
  <c r="E15"/>
  <c r="E16"/>
  <c r="E17"/>
  <c r="E1184" i="10" s="1"/>
  <c r="G1184" s="1"/>
  <c r="E18" i="12"/>
  <c r="E246" i="10" s="1"/>
  <c r="G246" s="1"/>
  <c r="E19" i="12"/>
  <c r="E20"/>
  <c r="E8" i="10" s="1"/>
  <c r="E21" i="12"/>
  <c r="E208" i="10" s="1"/>
  <c r="G208" s="1"/>
  <c r="E22" i="12"/>
  <c r="E23"/>
  <c r="E115" i="10" s="1"/>
  <c r="G115" s="1"/>
  <c r="E24" i="12"/>
  <c r="E33"/>
  <c r="E34"/>
  <c r="F216" i="10" s="1"/>
  <c r="F217" s="1"/>
  <c r="F218" s="1"/>
  <c r="F219" s="1"/>
  <c r="E35" i="12"/>
  <c r="E36"/>
  <c r="F506" i="10" s="1"/>
  <c r="F510" s="1"/>
  <c r="F514" s="1"/>
  <c r="F518" s="1"/>
  <c r="E39" i="12"/>
  <c r="E40"/>
  <c r="E41"/>
  <c r="E43"/>
  <c r="E44"/>
  <c r="E45"/>
  <c r="E46"/>
  <c r="G121" i="10"/>
  <c r="I12" i="11"/>
  <c r="E169" i="10"/>
  <c r="G169" s="1"/>
  <c r="E242"/>
  <c r="G242" s="1"/>
  <c r="D60"/>
  <c r="D61"/>
  <c r="D62"/>
  <c r="G64"/>
  <c r="D112"/>
  <c r="D113"/>
  <c r="D120"/>
  <c r="D127"/>
  <c r="G130"/>
  <c r="G131" s="1"/>
  <c r="D136"/>
  <c r="D137"/>
  <c r="D138"/>
  <c r="G139"/>
  <c r="E26" i="9" s="1"/>
  <c r="D142" i="10"/>
  <c r="D153"/>
  <c r="D164"/>
  <c r="D221"/>
  <c r="B225"/>
  <c r="B228" s="1"/>
  <c r="G228" s="1"/>
  <c r="B226"/>
  <c r="B235" s="1"/>
  <c r="E229"/>
  <c r="D241"/>
  <c r="G243"/>
  <c r="D253"/>
  <c r="G255"/>
  <c r="E265"/>
  <c r="G265" s="1"/>
  <c r="E266"/>
  <c r="E331" s="1"/>
  <c r="G331" s="1"/>
  <c r="G332" s="1"/>
  <c r="D270"/>
  <c r="D284"/>
  <c r="D298"/>
  <c r="D306"/>
  <c r="D314"/>
  <c r="D330"/>
  <c r="D343"/>
  <c r="D523"/>
  <c r="E525"/>
  <c r="G525" s="1"/>
  <c r="E527"/>
  <c r="G527" s="1"/>
  <c r="D531"/>
  <c r="E532"/>
  <c r="G532" s="1"/>
  <c r="E534"/>
  <c r="E535" s="1"/>
  <c r="G535" s="1"/>
  <c r="E539"/>
  <c r="G539" s="1"/>
  <c r="D546"/>
  <c r="D601"/>
  <c r="D602"/>
  <c r="D603"/>
  <c r="D604"/>
  <c r="G605"/>
  <c r="E117" i="9" s="1"/>
  <c r="D608" i="10"/>
  <c r="D621"/>
  <c r="G622"/>
  <c r="G623" s="1"/>
  <c r="E127" i="9" s="1"/>
  <c r="D625" i="10"/>
  <c r="G626"/>
  <c r="G627" s="1"/>
  <c r="D628"/>
  <c r="G629"/>
  <c r="G630" s="1"/>
  <c r="E131" i="9" s="1"/>
  <c r="D632" i="10"/>
  <c r="G633"/>
  <c r="D639"/>
  <c r="D648"/>
  <c r="G655"/>
  <c r="B660"/>
  <c r="G661"/>
  <c r="G662"/>
  <c r="D683"/>
  <c r="D701"/>
  <c r="D719"/>
  <c r="E720"/>
  <c r="G720" s="1"/>
  <c r="G730"/>
  <c r="D735"/>
  <c r="E737"/>
  <c r="G737" s="1"/>
  <c r="E746"/>
  <c r="G746" s="1"/>
  <c r="D753"/>
  <c r="E755"/>
  <c r="G755" s="1"/>
  <c r="D770"/>
  <c r="E782"/>
  <c r="G782" s="1"/>
  <c r="D788"/>
  <c r="E790"/>
  <c r="G790" s="1"/>
  <c r="D804"/>
  <c r="G806"/>
  <c r="G810"/>
  <c r="G814"/>
  <c r="D820"/>
  <c r="D824"/>
  <c r="B840"/>
  <c r="E840"/>
  <c r="D855"/>
  <c r="B857"/>
  <c r="E857"/>
  <c r="D869"/>
  <c r="D872"/>
  <c r="E873"/>
  <c r="G873" s="1"/>
  <c r="D884"/>
  <c r="D890"/>
  <c r="D899"/>
  <c r="B901"/>
  <c r="G901" s="1"/>
  <c r="D909"/>
  <c r="D918"/>
  <c r="E920"/>
  <c r="D928"/>
  <c r="D936"/>
  <c r="D949"/>
  <c r="G950"/>
  <c r="E951"/>
  <c r="G951" s="1"/>
  <c r="D957"/>
  <c r="G958"/>
  <c r="G959" s="1"/>
  <c r="E188" i="9" s="1"/>
  <c r="D962" i="10"/>
  <c r="D963"/>
  <c r="D964"/>
  <c r="D965"/>
  <c r="D966"/>
  <c r="D967"/>
  <c r="G968"/>
  <c r="G969" s="1"/>
  <c r="E196" i="9" s="1"/>
  <c r="D971" i="10"/>
  <c r="D972"/>
  <c r="D973"/>
  <c r="D974"/>
  <c r="D975"/>
  <c r="D976"/>
  <c r="D977"/>
  <c r="G978"/>
  <c r="G979" s="1"/>
  <c r="E203" i="9" s="1"/>
  <c r="D981" i="10"/>
  <c r="D982"/>
  <c r="D983"/>
  <c r="D984"/>
  <c r="D985"/>
  <c r="D986"/>
  <c r="G987"/>
  <c r="G988" s="1"/>
  <c r="E209" i="9" s="1"/>
  <c r="D990" i="10"/>
  <c r="G991"/>
  <c r="G992" s="1"/>
  <c r="E211" i="9" s="1"/>
  <c r="D994" i="10"/>
  <c r="G995"/>
  <c r="G996" s="1"/>
  <c r="E212" i="9" s="1"/>
  <c r="D997" i="10"/>
  <c r="G998"/>
  <c r="G999" s="1"/>
  <c r="E213" i="9" s="1"/>
  <c r="D1001" i="10"/>
  <c r="D1002"/>
  <c r="D1003"/>
  <c r="D1004"/>
  <c r="D1005"/>
  <c r="G1006"/>
  <c r="G1007" s="1"/>
  <c r="D1009"/>
  <c r="D1010"/>
  <c r="D1011"/>
  <c r="D1012"/>
  <c r="D1013"/>
  <c r="G1014"/>
  <c r="G1015" s="1"/>
  <c r="D1017"/>
  <c r="D1018"/>
  <c r="D1019"/>
  <c r="D1020"/>
  <c r="D1021"/>
  <c r="D1022"/>
  <c r="D1023"/>
  <c r="G1024"/>
  <c r="G1025" s="1"/>
  <c r="E230" i="9" s="1"/>
  <c r="D1030" i="10"/>
  <c r="G1031"/>
  <c r="G1032"/>
  <c r="D1035"/>
  <c r="G1037"/>
  <c r="E236" i="9" s="1"/>
  <c r="D1039" i="10"/>
  <c r="G1041"/>
  <c r="D1052"/>
  <c r="G1053"/>
  <c r="G1054" s="1"/>
  <c r="E239" i="9" s="1"/>
  <c r="D1057" i="10"/>
  <c r="D1060"/>
  <c r="G1061"/>
  <c r="D1074"/>
  <c r="G1076"/>
  <c r="F186" l="1"/>
  <c r="F215"/>
  <c r="E199"/>
  <c r="G199" s="1"/>
  <c r="E712"/>
  <c r="G712" s="1"/>
  <c r="E200"/>
  <c r="G200" s="1"/>
  <c r="E1202"/>
  <c r="G1202" s="1"/>
  <c r="E1197"/>
  <c r="G1197" s="1"/>
  <c r="E706"/>
  <c r="G706" s="1"/>
  <c r="E713"/>
  <c r="G713" s="1"/>
  <c r="E551"/>
  <c r="G551" s="1"/>
  <c r="E1196"/>
  <c r="G1196" s="1"/>
  <c r="E1201"/>
  <c r="G1201" s="1"/>
  <c r="E708"/>
  <c r="G708" s="1"/>
  <c r="E201"/>
  <c r="G201" s="1"/>
  <c r="E1203"/>
  <c r="G1203" s="1"/>
  <c r="E1198"/>
  <c r="G1198" s="1"/>
  <c r="E714"/>
  <c r="G714" s="1"/>
  <c r="E707"/>
  <c r="G707" s="1"/>
  <c r="E130" i="9"/>
  <c r="F130" s="1"/>
  <c r="E223"/>
  <c r="E218"/>
  <c r="E940" i="10"/>
  <c r="G940" s="1"/>
  <c r="E549"/>
  <c r="E447"/>
  <c r="G447" s="1"/>
  <c r="E481"/>
  <c r="G481" s="1"/>
  <c r="F502"/>
  <c r="F425"/>
  <c r="E230"/>
  <c r="G230" s="1"/>
  <c r="E1181"/>
  <c r="G1181" s="1"/>
  <c r="E450"/>
  <c r="G450" s="1"/>
  <c r="E484"/>
  <c r="G484" s="1"/>
  <c r="E75"/>
  <c r="G75" s="1"/>
  <c r="G77" s="1"/>
  <c r="G78" s="1"/>
  <c r="G80" s="1"/>
  <c r="E122"/>
  <c r="G122" s="1"/>
  <c r="G123" s="1"/>
  <c r="G125" s="1"/>
  <c r="E20" i="9" s="1"/>
  <c r="E1180" i="10"/>
  <c r="G1180" s="1"/>
  <c r="E449"/>
  <c r="G449" s="1"/>
  <c r="E495"/>
  <c r="G495" s="1"/>
  <c r="E483"/>
  <c r="G483" s="1"/>
  <c r="E1182"/>
  <c r="G1182" s="1"/>
  <c r="E485"/>
  <c r="G485" s="1"/>
  <c r="E451"/>
  <c r="G451" s="1"/>
  <c r="E1183"/>
  <c r="G1183" s="1"/>
  <c r="E486"/>
  <c r="G486" s="1"/>
  <c r="E452"/>
  <c r="G452" s="1"/>
  <c r="E941"/>
  <c r="G941" s="1"/>
  <c r="E832"/>
  <c r="G832" s="1"/>
  <c r="E694"/>
  <c r="G694" s="1"/>
  <c r="E690"/>
  <c r="G690" s="1"/>
  <c r="E942"/>
  <c r="G942" s="1"/>
  <c r="E245"/>
  <c r="G245" s="1"/>
  <c r="G247" s="1"/>
  <c r="G249" s="1"/>
  <c r="G250" s="1"/>
  <c r="E693"/>
  <c r="G693" s="1"/>
  <c r="E689"/>
  <c r="G689" s="1"/>
  <c r="E831"/>
  <c r="G831" s="1"/>
  <c r="E688"/>
  <c r="G688" s="1"/>
  <c r="E833"/>
  <c r="G833" s="1"/>
  <c r="E695"/>
  <c r="G695" s="1"/>
  <c r="E691"/>
  <c r="G691" s="1"/>
  <c r="E66"/>
  <c r="G66" s="1"/>
  <c r="G68" s="1"/>
  <c r="G69" s="1"/>
  <c r="G71" s="1"/>
  <c r="E274" i="9" s="1"/>
  <c r="F429" i="10"/>
  <c r="F433" s="1"/>
  <c r="F437" s="1"/>
  <c r="F441" s="1"/>
  <c r="F367"/>
  <c r="F399"/>
  <c r="F403" s="1"/>
  <c r="F407" s="1"/>
  <c r="F411" s="1"/>
  <c r="F363"/>
  <c r="F395"/>
  <c r="F463"/>
  <c r="E417"/>
  <c r="G417" s="1"/>
  <c r="E387"/>
  <c r="G387" s="1"/>
  <c r="F459"/>
  <c r="E419"/>
  <c r="G419" s="1"/>
  <c r="E389"/>
  <c r="G389" s="1"/>
  <c r="E418"/>
  <c r="G418" s="1"/>
  <c r="E388"/>
  <c r="G388" s="1"/>
  <c r="E634"/>
  <c r="G634" s="1"/>
  <c r="G637" s="1"/>
  <c r="E132" i="9" s="1"/>
  <c r="E1062" i="10"/>
  <c r="G1062" s="1"/>
  <c r="G1065" s="1"/>
  <c r="E243" i="9" s="1"/>
  <c r="E357" i="10"/>
  <c r="G357" s="1"/>
  <c r="E356"/>
  <c r="G356" s="1"/>
  <c r="E355"/>
  <c r="G355" s="1"/>
  <c r="E726"/>
  <c r="G726" s="1"/>
  <c r="E743"/>
  <c r="E761" s="1"/>
  <c r="E779"/>
  <c r="G779" s="1"/>
  <c r="E877"/>
  <c r="G877" s="1"/>
  <c r="E808"/>
  <c r="G808" s="1"/>
  <c r="E792"/>
  <c r="G792" s="1"/>
  <c r="E6"/>
  <c r="E12" s="1"/>
  <c r="E114"/>
  <c r="G114" s="1"/>
  <c r="F212" i="9"/>
  <c r="F188"/>
  <c r="F239"/>
  <c r="F236"/>
  <c r="F223"/>
  <c r="F209"/>
  <c r="F131"/>
  <c r="F127"/>
  <c r="A127" i="10"/>
  <c r="A136" s="1"/>
  <c r="A142" s="1"/>
  <c r="A153" s="1"/>
  <c r="A164" s="1"/>
  <c r="A221" s="1"/>
  <c r="A239" s="1"/>
  <c r="A241" s="1"/>
  <c r="A21" i="9"/>
  <c r="A24" s="1"/>
  <c r="E952" i="10"/>
  <c r="G952" s="1"/>
  <c r="G954" s="1"/>
  <c r="G955" s="1"/>
  <c r="E187" i="9" s="1"/>
  <c r="E911" i="10"/>
  <c r="G911" s="1"/>
  <c r="E741"/>
  <c r="E876"/>
  <c r="G876" s="1"/>
  <c r="E902"/>
  <c r="G902" s="1"/>
  <c r="E777"/>
  <c r="G777" s="1"/>
  <c r="E844"/>
  <c r="G844" s="1"/>
  <c r="E921"/>
  <c r="G921" s="1"/>
  <c r="E892"/>
  <c r="G892" s="1"/>
  <c r="E724"/>
  <c r="G724" s="1"/>
  <c r="E861"/>
  <c r="G861" s="1"/>
  <c r="E179"/>
  <c r="G179" s="1"/>
  <c r="E913"/>
  <c r="G913" s="1"/>
  <c r="G772"/>
  <c r="E289"/>
  <c r="G289" s="1"/>
  <c r="E799"/>
  <c r="G799" s="1"/>
  <c r="E903"/>
  <c r="G903" s="1"/>
  <c r="E653"/>
  <c r="G653" s="1"/>
  <c r="E815"/>
  <c r="G815" s="1"/>
  <c r="E1045"/>
  <c r="G1045" s="1"/>
  <c r="E727"/>
  <c r="G727" s="1"/>
  <c r="E744"/>
  <c r="E922"/>
  <c r="G922" s="1"/>
  <c r="E878"/>
  <c r="G878" s="1"/>
  <c r="E893"/>
  <c r="G893" s="1"/>
  <c r="E912"/>
  <c r="G912" s="1"/>
  <c r="E780"/>
  <c r="G780" s="1"/>
  <c r="E812"/>
  <c r="G812" s="1"/>
  <c r="E862"/>
  <c r="G862" s="1"/>
  <c r="E1044"/>
  <c r="G1044" s="1"/>
  <c r="E725"/>
  <c r="G725" s="1"/>
  <c r="E742"/>
  <c r="E760" s="1"/>
  <c r="E811"/>
  <c r="G811" s="1"/>
  <c r="E795"/>
  <c r="G795" s="1"/>
  <c r="E652"/>
  <c r="G652" s="1"/>
  <c r="E778"/>
  <c r="G778" s="1"/>
  <c r="E863"/>
  <c r="E813"/>
  <c r="G813" s="1"/>
  <c r="E781"/>
  <c r="G781" s="1"/>
  <c r="E1046"/>
  <c r="G1046" s="1"/>
  <c r="G840"/>
  <c r="E797"/>
  <c r="G797" s="1"/>
  <c r="E654"/>
  <c r="G654" s="1"/>
  <c r="E894"/>
  <c r="G894" s="1"/>
  <c r="E879"/>
  <c r="G879" s="1"/>
  <c r="E923"/>
  <c r="G923" s="1"/>
  <c r="E745"/>
  <c r="E763" s="1"/>
  <c r="E728"/>
  <c r="G728" s="1"/>
  <c r="E904"/>
  <c r="G904" s="1"/>
  <c r="E846"/>
  <c r="G846" s="1"/>
  <c r="E773"/>
  <c r="G773" s="1"/>
  <c r="E144"/>
  <c r="G144" s="1"/>
  <c r="E1075"/>
  <c r="G1075" s="1"/>
  <c r="G1078" s="1"/>
  <c r="E245" i="9" s="1"/>
  <c r="G1033" i="10"/>
  <c r="E234" i="9" s="1"/>
  <c r="G757" i="10"/>
  <c r="G920"/>
  <c r="G857"/>
  <c r="G256"/>
  <c r="G258" s="1"/>
  <c r="G529"/>
  <c r="E105" i="9" s="1"/>
  <c r="E166" i="10"/>
  <c r="G166" s="1"/>
  <c r="E154"/>
  <c r="G154" s="1"/>
  <c r="E167"/>
  <c r="G167" s="1"/>
  <c r="E650"/>
  <c r="G650" s="1"/>
  <c r="E7"/>
  <c r="F187"/>
  <c r="F188" s="1"/>
  <c r="F189" s="1"/>
  <c r="F190" s="1"/>
  <c r="G8"/>
  <c r="E14"/>
  <c r="E272"/>
  <c r="G272" s="1"/>
  <c r="E288"/>
  <c r="G288" s="1"/>
  <c r="E333"/>
  <c r="G333" s="1"/>
  <c r="E157"/>
  <c r="G157" s="1"/>
  <c r="E147"/>
  <c r="G147" s="1"/>
  <c r="E171"/>
  <c r="G171" s="1"/>
  <c r="E273"/>
  <c r="G273" s="1"/>
  <c r="E334"/>
  <c r="G334" s="1"/>
  <c r="E796"/>
  <c r="G796" s="1"/>
  <c r="E845"/>
  <c r="G845" s="1"/>
  <c r="G84"/>
  <c r="G534"/>
  <c r="G537" s="1"/>
  <c r="E107" i="9" s="1"/>
  <c r="E541" i="10"/>
  <c r="G541" s="1"/>
  <c r="B229"/>
  <c r="G229" s="1"/>
  <c r="G133"/>
  <c r="E21" i="9" s="1"/>
  <c r="G266" i="10"/>
  <c r="E271"/>
  <c r="G271" s="1"/>
  <c r="E148"/>
  <c r="G148" s="1"/>
  <c r="E172"/>
  <c r="G172" s="1"/>
  <c r="E158"/>
  <c r="G158" s="1"/>
  <c r="E146"/>
  <c r="G146" s="1"/>
  <c r="E170"/>
  <c r="G170" s="1"/>
  <c r="E156"/>
  <c r="G156" s="1"/>
  <c r="E10" i="9" l="1"/>
  <c r="F10" s="1"/>
  <c r="E263"/>
  <c r="F263" s="1"/>
  <c r="G1205" i="10"/>
  <c r="G1206" s="1"/>
  <c r="E293" i="9" s="1"/>
  <c r="F293" s="1"/>
  <c r="G204" i="10"/>
  <c r="E207" s="1"/>
  <c r="G207" s="1"/>
  <c r="E49" i="9"/>
  <c r="E282" s="1"/>
  <c r="F282" s="1"/>
  <c r="G549" i="10"/>
  <c r="G553" s="1"/>
  <c r="G554" s="1"/>
  <c r="E597" s="1"/>
  <c r="G597" s="1"/>
  <c r="G598" s="1"/>
  <c r="G599" s="1"/>
  <c r="G275"/>
  <c r="G276" s="1"/>
  <c r="E279" s="1"/>
  <c r="G279" s="1"/>
  <c r="G175"/>
  <c r="E178" s="1"/>
  <c r="G178" s="1"/>
  <c r="G180" s="1"/>
  <c r="E261"/>
  <c r="G116"/>
  <c r="G118" s="1"/>
  <c r="E276" i="9" s="1"/>
  <c r="G267" i="10"/>
  <c r="G268" s="1"/>
  <c r="E287" s="1"/>
  <c r="G287" s="1"/>
  <c r="G943"/>
  <c r="G945" s="1"/>
  <c r="G946" s="1"/>
  <c r="G947" s="1"/>
  <c r="E186" i="9" s="1"/>
  <c r="E90" i="10"/>
  <c r="G90" s="1"/>
  <c r="G92" s="1"/>
  <c r="G94" s="1"/>
  <c r="E98" s="1"/>
  <c r="G98" s="1"/>
  <c r="G100" s="1"/>
  <c r="G102" s="1"/>
  <c r="G1187"/>
  <c r="G1188" s="1"/>
  <c r="E266" i="9" s="1"/>
  <c r="F266" s="1"/>
  <c r="F268" s="1"/>
  <c r="G741" i="10"/>
  <c r="E759"/>
  <c r="G759" s="1"/>
  <c r="G744"/>
  <c r="E762"/>
  <c r="G762" s="1"/>
  <c r="G743"/>
  <c r="G745"/>
  <c r="G763"/>
  <c r="E542"/>
  <c r="G542" s="1"/>
  <c r="G544" s="1"/>
  <c r="E108" i="9" s="1"/>
  <c r="G231" i="10"/>
  <c r="G232" s="1"/>
  <c r="E83"/>
  <c r="G83" s="1"/>
  <c r="G85" s="1"/>
  <c r="G87" s="1"/>
  <c r="E12" i="9" s="1"/>
  <c r="E9"/>
  <c r="F274" s="1"/>
  <c r="J1058" i="30"/>
  <c r="G863" i="10"/>
  <c r="G761"/>
  <c r="G6"/>
  <c r="F133" i="9"/>
  <c r="F245"/>
  <c r="F218"/>
  <c r="F243"/>
  <c r="A29"/>
  <c r="A30" s="1"/>
  <c r="F371" i="10"/>
  <c r="F375" s="1"/>
  <c r="F379" s="1"/>
  <c r="F467"/>
  <c r="F471" s="1"/>
  <c r="F475" s="1"/>
  <c r="A253"/>
  <c r="A330" s="1"/>
  <c r="A343" s="1"/>
  <c r="G722"/>
  <c r="G1047"/>
  <c r="G742"/>
  <c r="G760"/>
  <c r="E1058"/>
  <c r="G1058" s="1"/>
  <c r="E26"/>
  <c r="G26" s="1"/>
  <c r="E20"/>
  <c r="G20" s="1"/>
  <c r="G14"/>
  <c r="E32"/>
  <c r="E13"/>
  <c r="G7"/>
  <c r="E24"/>
  <c r="G24" s="1"/>
  <c r="E30"/>
  <c r="G12"/>
  <c r="E18"/>
  <c r="G18" s="1"/>
  <c r="G859"/>
  <c r="G842"/>
  <c r="G336"/>
  <c r="G337" s="1"/>
  <c r="G338" s="1"/>
  <c r="G340" s="1"/>
  <c r="E58" i="9" s="1"/>
  <c r="G209" i="10" l="1"/>
  <c r="G210" s="1"/>
  <c r="G212" s="1"/>
  <c r="E19" i="9"/>
  <c r="F276" s="1"/>
  <c r="E113"/>
  <c r="F113" s="1"/>
  <c r="E567" i="10"/>
  <c r="G567" s="1"/>
  <c r="G568" s="1"/>
  <c r="E582"/>
  <c r="G261"/>
  <c r="G262" s="1"/>
  <c r="E286" s="1"/>
  <c r="G286" s="1"/>
  <c r="G293" s="1"/>
  <c r="G294" s="1"/>
  <c r="G181"/>
  <c r="E13" i="9"/>
  <c r="F13" s="1"/>
  <c r="E242"/>
  <c r="F242" s="1"/>
  <c r="E15"/>
  <c r="F15" s="1"/>
  <c r="E106" i="10"/>
  <c r="G106" s="1"/>
  <c r="G108" s="1"/>
  <c r="G110" s="1"/>
  <c r="E17" i="9" s="1"/>
  <c r="F17" s="1"/>
  <c r="F108"/>
  <c r="E234" i="10"/>
  <c r="G234" s="1"/>
  <c r="A349"/>
  <c r="A445" s="1"/>
  <c r="G1051"/>
  <c r="E238" i="9" s="1"/>
  <c r="F238" s="1"/>
  <c r="G9" i="10"/>
  <c r="J1051" i="30"/>
  <c r="J1056"/>
  <c r="J1052"/>
  <c r="J1059"/>
  <c r="G1070" i="10"/>
  <c r="G1072" s="1"/>
  <c r="E244" i="9" s="1"/>
  <c r="F107"/>
  <c r="F58"/>
  <c r="F132"/>
  <c r="F134" s="1"/>
  <c r="A32"/>
  <c r="A39" s="1"/>
  <c r="G739" i="10"/>
  <c r="G32"/>
  <c r="E50"/>
  <c r="G50" s="1"/>
  <c r="E38"/>
  <c r="E44"/>
  <c r="G44" s="1"/>
  <c r="G30"/>
  <c r="E48"/>
  <c r="G48" s="1"/>
  <c r="E36"/>
  <c r="G36" s="1"/>
  <c r="E42"/>
  <c r="G42" s="1"/>
  <c r="E54"/>
  <c r="G54" s="1"/>
  <c r="E25"/>
  <c r="G25" s="1"/>
  <c r="G27" s="1"/>
  <c r="G13"/>
  <c r="G15" s="1"/>
  <c r="E651" s="1"/>
  <c r="G651" s="1"/>
  <c r="G656" s="1"/>
  <c r="G657" s="1"/>
  <c r="E31"/>
  <c r="E19"/>
  <c r="G19" s="1"/>
  <c r="G21" s="1"/>
  <c r="A46" i="9" l="1"/>
  <c r="A48" s="1"/>
  <c r="A49" s="1"/>
  <c r="A193" i="10"/>
  <c r="E214"/>
  <c r="G214" s="1"/>
  <c r="E40" i="9" s="1"/>
  <c r="F40" s="1"/>
  <c r="E215" i="10"/>
  <c r="G215" s="1"/>
  <c r="G582"/>
  <c r="G583" s="1"/>
  <c r="G584" s="1"/>
  <c r="G569"/>
  <c r="G296"/>
  <c r="E278"/>
  <c r="C45" i="8"/>
  <c r="A479" i="10"/>
  <c r="A523" s="1"/>
  <c r="A531" s="1"/>
  <c r="A546" s="1"/>
  <c r="A601" s="1"/>
  <c r="E386"/>
  <c r="G386" s="1"/>
  <c r="G390" s="1"/>
  <c r="G391" s="1"/>
  <c r="G393" s="1"/>
  <c r="E395" s="1"/>
  <c r="G395" s="1"/>
  <c r="G397" s="1"/>
  <c r="E79" i="9" s="1"/>
  <c r="F79" s="1"/>
  <c r="E482" i="10"/>
  <c r="G482" s="1"/>
  <c r="G488" s="1"/>
  <c r="G489" s="1"/>
  <c r="G491" s="1"/>
  <c r="E494" s="1"/>
  <c r="G494" s="1"/>
  <c r="G497" s="1"/>
  <c r="G498" s="1"/>
  <c r="G500" s="1"/>
  <c r="E502" s="1"/>
  <c r="G502" s="1"/>
  <c r="G504" s="1"/>
  <c r="E97" i="9" s="1"/>
  <c r="F231"/>
  <c r="E827" i="10"/>
  <c r="E841"/>
  <c r="E919"/>
  <c r="J1054" i="30"/>
  <c r="F244" i="9"/>
  <c r="C11" i="8"/>
  <c r="F12" i="9"/>
  <c r="G775" i="10"/>
  <c r="E235"/>
  <c r="G235" s="1"/>
  <c r="G237" s="1"/>
  <c r="G238" s="1"/>
  <c r="E47" i="9" s="1"/>
  <c r="G183" i="10"/>
  <c r="E155"/>
  <c r="G155" s="1"/>
  <c r="G160" s="1"/>
  <c r="G161" s="1"/>
  <c r="E30" i="9" s="1"/>
  <c r="E874" i="10"/>
  <c r="G874" s="1"/>
  <c r="G881" s="1"/>
  <c r="E858"/>
  <c r="G858" s="1"/>
  <c r="G865" s="1"/>
  <c r="E910"/>
  <c r="E37"/>
  <c r="G31"/>
  <c r="E49"/>
  <c r="G49" s="1"/>
  <c r="G51" s="1"/>
  <c r="E43"/>
  <c r="G43" s="1"/>
  <c r="G45" s="1"/>
  <c r="E56"/>
  <c r="G56" s="1"/>
  <c r="G38"/>
  <c r="E660"/>
  <c r="G660" s="1"/>
  <c r="G664" s="1"/>
  <c r="G665" s="1"/>
  <c r="E138" i="9" s="1"/>
  <c r="E216" i="10" l="1"/>
  <c r="G216" s="1"/>
  <c r="E41" i="9"/>
  <c r="F41" s="1"/>
  <c r="E111"/>
  <c r="F111" s="1"/>
  <c r="E112"/>
  <c r="F112" s="1"/>
  <c r="G278" i="10"/>
  <c r="G281" s="1"/>
  <c r="G282" s="1"/>
  <c r="E53" i="9" s="1"/>
  <c r="E54"/>
  <c r="E315" i="10"/>
  <c r="E307"/>
  <c r="G307" s="1"/>
  <c r="E308" s="1"/>
  <c r="G308" s="1"/>
  <c r="G309" s="1"/>
  <c r="G310" s="1"/>
  <c r="G312" s="1"/>
  <c r="E56" i="9" s="1"/>
  <c r="E299" i="10"/>
  <c r="G299" s="1"/>
  <c r="E300" s="1"/>
  <c r="G300" s="1"/>
  <c r="G301" s="1"/>
  <c r="G302" s="1"/>
  <c r="G304" s="1"/>
  <c r="E55" i="9" s="1"/>
  <c r="E286" s="1"/>
  <c r="F286" s="1"/>
  <c r="F97"/>
  <c r="E506" i="10"/>
  <c r="G506" s="1"/>
  <c r="G508" s="1"/>
  <c r="E98" i="9" s="1"/>
  <c r="G33" i="10"/>
  <c r="G827"/>
  <c r="G835" s="1"/>
  <c r="G836" s="1"/>
  <c r="E165" i="9" s="1"/>
  <c r="E399" i="10"/>
  <c r="G399" s="1"/>
  <c r="G401" s="1"/>
  <c r="E80" i="9" s="1"/>
  <c r="G866" i="10"/>
  <c r="E168" i="9" s="1"/>
  <c r="G882" i="10"/>
  <c r="E173" i="9" s="1"/>
  <c r="E185" i="10"/>
  <c r="G185" s="1"/>
  <c r="E186"/>
  <c r="A608"/>
  <c r="A621" s="1"/>
  <c r="A625" s="1"/>
  <c r="F47" i="9"/>
  <c r="A52"/>
  <c r="G793" i="10"/>
  <c r="E55"/>
  <c r="G55" s="1"/>
  <c r="G37"/>
  <c r="G39" s="1"/>
  <c r="E448" s="1"/>
  <c r="G841"/>
  <c r="G848" s="1"/>
  <c r="G910"/>
  <c r="G915" s="1"/>
  <c r="G919"/>
  <c r="G925" s="1"/>
  <c r="E217" l="1"/>
  <c r="G217" s="1"/>
  <c r="E42" i="9"/>
  <c r="F42" s="1"/>
  <c r="F53"/>
  <c r="E285"/>
  <c r="F285" s="1"/>
  <c r="E686" i="10"/>
  <c r="G686" s="1"/>
  <c r="G698" s="1"/>
  <c r="G699" s="1"/>
  <c r="E154" i="9" s="1"/>
  <c r="E704" i="10"/>
  <c r="G704" s="1"/>
  <c r="G716" s="1"/>
  <c r="G717" s="1"/>
  <c r="E155" i="9" s="1"/>
  <c r="E323" i="10"/>
  <c r="G323" s="1"/>
  <c r="E324" s="1"/>
  <c r="G324" s="1"/>
  <c r="G325" s="1"/>
  <c r="G326" s="1"/>
  <c r="G328" s="1"/>
  <c r="G315"/>
  <c r="E316" s="1"/>
  <c r="G316" s="1"/>
  <c r="G317" s="1"/>
  <c r="G318" s="1"/>
  <c r="G320" s="1"/>
  <c r="E57" i="9" s="1"/>
  <c r="G186" i="10"/>
  <c r="E34" i="9" s="1"/>
  <c r="F98"/>
  <c r="E510" i="10"/>
  <c r="G510" s="1"/>
  <c r="G512" s="1"/>
  <c r="E99" i="9" s="1"/>
  <c r="E416" i="10"/>
  <c r="G416" s="1"/>
  <c r="G420" s="1"/>
  <c r="G421" s="1"/>
  <c r="G423" s="1"/>
  <c r="E425" s="1"/>
  <c r="G425" s="1"/>
  <c r="G427" s="1"/>
  <c r="E85" i="9" s="1"/>
  <c r="E354" i="10"/>
  <c r="G354" s="1"/>
  <c r="G358" s="1"/>
  <c r="G359" s="1"/>
  <c r="G448"/>
  <c r="E791"/>
  <c r="G791" s="1"/>
  <c r="G801" s="1"/>
  <c r="E756"/>
  <c r="G756" s="1"/>
  <c r="G766" s="1"/>
  <c r="G767" s="1"/>
  <c r="E738"/>
  <c r="G738" s="1"/>
  <c r="G749" s="1"/>
  <c r="G750" s="1"/>
  <c r="E157" i="9" s="1"/>
  <c r="E807" i="10"/>
  <c r="G807" s="1"/>
  <c r="E721"/>
  <c r="G721" s="1"/>
  <c r="G732" s="1"/>
  <c r="G733" s="1"/>
  <c r="E156" i="9" s="1"/>
  <c r="E774" i="10"/>
  <c r="G774" s="1"/>
  <c r="G785" s="1"/>
  <c r="G786" s="1"/>
  <c r="E159" i="9" s="1"/>
  <c r="E145" i="10"/>
  <c r="G145" s="1"/>
  <c r="A628"/>
  <c r="A632" s="1"/>
  <c r="A639" s="1"/>
  <c r="A648" s="1"/>
  <c r="A667" s="1"/>
  <c r="A680" s="1"/>
  <c r="A683" s="1"/>
  <c r="A701" s="1"/>
  <c r="A719" s="1"/>
  <c r="A735" s="1"/>
  <c r="A753" s="1"/>
  <c r="A770" s="1"/>
  <c r="A788" s="1"/>
  <c r="A804" s="1"/>
  <c r="A820" s="1"/>
  <c r="A824" s="1"/>
  <c r="G849"/>
  <c r="E403"/>
  <c r="G403" s="1"/>
  <c r="G405" s="1"/>
  <c r="E81" i="9" s="1"/>
  <c r="F80"/>
  <c r="G926" i="10"/>
  <c r="G916"/>
  <c r="E180" i="9" s="1"/>
  <c r="G57" i="10"/>
  <c r="E33" i="9"/>
  <c r="F56"/>
  <c r="F162"/>
  <c r="F55"/>
  <c r="A58"/>
  <c r="A61" s="1"/>
  <c r="A66" s="1"/>
  <c r="A90" s="1"/>
  <c r="A96" s="1"/>
  <c r="G809" i="10"/>
  <c r="E891"/>
  <c r="E187" l="1"/>
  <c r="G187" s="1"/>
  <c r="E35" i="9" s="1"/>
  <c r="E218" i="10"/>
  <c r="G218" s="1"/>
  <c r="E43" i="9"/>
  <c r="F43" s="1"/>
  <c r="E181"/>
  <c r="F181" s="1"/>
  <c r="E158"/>
  <c r="F158" s="1"/>
  <c r="E166"/>
  <c r="F166" s="1"/>
  <c r="F33"/>
  <c r="E281"/>
  <c r="F281" s="1"/>
  <c r="G150" i="10"/>
  <c r="G151" s="1"/>
  <c r="F99" i="9"/>
  <c r="E514" i="10"/>
  <c r="G514" s="1"/>
  <c r="G516" s="1"/>
  <c r="E100" i="9" s="1"/>
  <c r="E429" i="10"/>
  <c r="G429" s="1"/>
  <c r="G431" s="1"/>
  <c r="E86" i="9" s="1"/>
  <c r="F85"/>
  <c r="G817" i="10"/>
  <c r="G818" s="1"/>
  <c r="A838"/>
  <c r="A851" s="1"/>
  <c r="A855" s="1"/>
  <c r="A869" s="1"/>
  <c r="A872" s="1"/>
  <c r="A884" s="1"/>
  <c r="A886" s="1"/>
  <c r="A890" s="1"/>
  <c r="A899" s="1"/>
  <c r="A909" s="1"/>
  <c r="A918" s="1"/>
  <c r="A928" s="1"/>
  <c r="G454"/>
  <c r="G455" s="1"/>
  <c r="E407"/>
  <c r="G407" s="1"/>
  <c r="G409" s="1"/>
  <c r="E82" i="9" s="1"/>
  <c r="F81"/>
  <c r="G361" i="10"/>
  <c r="E363" s="1"/>
  <c r="G802"/>
  <c r="E160" i="9" s="1"/>
  <c r="A105"/>
  <c r="J1053" i="30"/>
  <c r="F213" i="9"/>
  <c r="F117"/>
  <c r="F57"/>
  <c r="E900" i="10"/>
  <c r="G900" s="1"/>
  <c r="G906" s="1"/>
  <c r="G907" s="1"/>
  <c r="G891"/>
  <c r="G896" s="1"/>
  <c r="G897" s="1"/>
  <c r="E178" i="9" s="1"/>
  <c r="E219" i="10" l="1"/>
  <c r="G219" s="1"/>
  <c r="E45" i="9" s="1"/>
  <c r="F45" s="1"/>
  <c r="E44"/>
  <c r="F44" s="1"/>
  <c r="E179"/>
  <c r="E291" s="1"/>
  <c r="F291" s="1"/>
  <c r="E161"/>
  <c r="F161" s="1"/>
  <c r="E29"/>
  <c r="E278" s="1"/>
  <c r="F278" s="1"/>
  <c r="E188" i="10"/>
  <c r="G188" s="1"/>
  <c r="E36" i="9" s="1"/>
  <c r="E518" i="10"/>
  <c r="G518" s="1"/>
  <c r="G520" s="1"/>
  <c r="F100" i="9"/>
  <c r="F86"/>
  <c r="E433" i="10"/>
  <c r="G433" s="1"/>
  <c r="G435" s="1"/>
  <c r="E87" i="9" s="1"/>
  <c r="A932" i="10"/>
  <c r="A936" s="1"/>
  <c r="A949" s="1"/>
  <c r="A957" s="1"/>
  <c r="A963" s="1"/>
  <c r="A971" s="1"/>
  <c r="A981" s="1"/>
  <c r="A990" s="1"/>
  <c r="A994" s="1"/>
  <c r="A997" s="1"/>
  <c r="A1001" s="1"/>
  <c r="A1009" s="1"/>
  <c r="A1017" s="1"/>
  <c r="E411"/>
  <c r="G411" s="1"/>
  <c r="G413" s="1"/>
  <c r="E83" i="9" s="1"/>
  <c r="F82"/>
  <c r="F230"/>
  <c r="F211"/>
  <c r="G457" i="10"/>
  <c r="F298" i="9" l="1"/>
  <c r="C46" i="8" s="1"/>
  <c r="C48" s="1"/>
  <c r="E101" i="9"/>
  <c r="F101" s="1"/>
  <c r="E189" i="10"/>
  <c r="G189" s="1"/>
  <c r="E37" i="9" s="1"/>
  <c r="F87"/>
  <c r="E437" i="10"/>
  <c r="G437" s="1"/>
  <c r="G439" s="1"/>
  <c r="E88" i="9" s="1"/>
  <c r="A1026" i="10"/>
  <c r="A1030" s="1"/>
  <c r="A1035" s="1"/>
  <c r="A1039" s="1"/>
  <c r="A1052" s="1"/>
  <c r="A1056" s="1"/>
  <c r="A1060" s="1"/>
  <c r="A1067" s="1"/>
  <c r="E459"/>
  <c r="G459" s="1"/>
  <c r="F196" i="9"/>
  <c r="F174"/>
  <c r="A106"/>
  <c r="A110" s="1"/>
  <c r="A114" s="1"/>
  <c r="G363" i="10"/>
  <c r="G365" s="1"/>
  <c r="F88" i="9" l="1"/>
  <c r="E441" i="10"/>
  <c r="G441" s="1"/>
  <c r="G443" s="1"/>
  <c r="A1074"/>
  <c r="A1081" s="1"/>
  <c r="G461"/>
  <c r="E91" i="9" s="1"/>
  <c r="F83"/>
  <c r="E367" i="10"/>
  <c r="G367" s="1"/>
  <c r="G369" s="1"/>
  <c r="E371" s="1"/>
  <c r="G371" s="1"/>
  <c r="G373" s="1"/>
  <c r="E190"/>
  <c r="F19" i="9"/>
  <c r="F26"/>
  <c r="F27" s="1"/>
  <c r="F30"/>
  <c r="F20"/>
  <c r="F105"/>
  <c r="E73"/>
  <c r="F73" s="1"/>
  <c r="E89" l="1"/>
  <c r="F89" s="1"/>
  <c r="G190" i="10"/>
  <c r="E38" i="9" s="1"/>
  <c r="F91"/>
  <c r="E463" i="10"/>
  <c r="G463" s="1"/>
  <c r="G465" s="1"/>
  <c r="E92" i="9" s="1"/>
  <c r="E74"/>
  <c r="F74" s="1"/>
  <c r="C6" i="8"/>
  <c r="F171" i="9"/>
  <c r="E375" i="10"/>
  <c r="G375" s="1"/>
  <c r="G377" s="1"/>
  <c r="E75" i="9"/>
  <c r="F75" s="1"/>
  <c r="E467" i="10" l="1"/>
  <c r="G467" s="1"/>
  <c r="G469" s="1"/>
  <c r="E93" i="9" s="1"/>
  <c r="F92"/>
  <c r="F29"/>
  <c r="C19" i="8"/>
  <c r="F173" i="9"/>
  <c r="F176" s="1"/>
  <c r="F178"/>
  <c r="E379" i="10"/>
  <c r="G379" s="1"/>
  <c r="G381" s="1"/>
  <c r="E77" i="9" s="1"/>
  <c r="F77" s="1"/>
  <c r="E76"/>
  <c r="F76" s="1"/>
  <c r="A1088" i="10" l="1"/>
  <c r="A1094" s="1"/>
  <c r="E471"/>
  <c r="G471" s="1"/>
  <c r="G473" s="1"/>
  <c r="E94" i="9" s="1"/>
  <c r="F93"/>
  <c r="C14" i="8"/>
  <c r="F180" i="9"/>
  <c r="F168"/>
  <c r="F167"/>
  <c r="F179"/>
  <c r="F187"/>
  <c r="F182" l="1"/>
  <c r="E475" i="10"/>
  <c r="G475" s="1"/>
  <c r="G477" s="1"/>
  <c r="F94" i="9"/>
  <c r="F156"/>
  <c r="F160"/>
  <c r="E95" l="1"/>
  <c r="F95" s="1"/>
  <c r="C15" i="8"/>
  <c r="F159" i="9"/>
  <c r="F155"/>
  <c r="F138"/>
  <c r="F165"/>
  <c r="F169" s="1"/>
  <c r="C13" i="8" l="1"/>
  <c r="A119" i="9"/>
  <c r="A127" s="1"/>
  <c r="A130" s="1"/>
  <c r="A131" l="1"/>
  <c r="F54" l="1"/>
  <c r="F59" s="1"/>
  <c r="A132"/>
  <c r="A133" s="1"/>
  <c r="A136" s="1"/>
  <c r="A140" l="1"/>
  <c r="C8" i="8"/>
  <c r="A152" i="9" l="1"/>
  <c r="A154" s="1"/>
  <c r="A155" s="1"/>
  <c r="A156" s="1"/>
  <c r="A157" l="1"/>
  <c r="A158" l="1"/>
  <c r="A159" s="1"/>
  <c r="A160" l="1"/>
  <c r="A161" l="1"/>
  <c r="A162" l="1"/>
  <c r="A165" s="1"/>
  <c r="A166" l="1"/>
  <c r="A167" l="1"/>
  <c r="A168" l="1"/>
  <c r="A171" l="1"/>
  <c r="A172" l="1"/>
  <c r="A174" l="1"/>
  <c r="A175" l="1"/>
  <c r="A178" s="1"/>
  <c r="A179" s="1"/>
  <c r="A180" s="1"/>
  <c r="A181" s="1"/>
  <c r="A184" s="1"/>
  <c r="A185" l="1"/>
  <c r="A186" l="1"/>
  <c r="A187" l="1"/>
  <c r="A188" l="1"/>
  <c r="A192" l="1"/>
  <c r="A197" s="1"/>
  <c r="A204" s="1"/>
  <c r="A211" s="1"/>
  <c r="A212" l="1"/>
  <c r="A213" l="1"/>
  <c r="A214" l="1"/>
  <c r="A219" s="1"/>
  <c r="A224" s="1"/>
  <c r="A231" l="1"/>
  <c r="A234" s="1"/>
  <c r="A235" s="1"/>
  <c r="A237" s="1"/>
  <c r="A239" s="1"/>
  <c r="A240" s="1"/>
  <c r="A243" l="1"/>
  <c r="A244" s="1"/>
  <c r="A245" s="1"/>
  <c r="A248" s="1"/>
  <c r="A253" s="1"/>
  <c r="A258" l="1"/>
  <c r="A269" s="1"/>
  <c r="F35" l="1"/>
  <c r="F36" l="1"/>
  <c r="F37" l="1"/>
  <c r="F38" l="1"/>
  <c r="J1055" i="30" l="1"/>
  <c r="F34" i="9" l="1"/>
  <c r="J1061" i="30" l="1"/>
  <c r="J1062" l="1"/>
  <c r="J1063" s="1"/>
  <c r="B49" i="9" s="1"/>
  <c r="F49" s="1"/>
  <c r="F50" l="1"/>
  <c r="C7" i="8" s="1"/>
  <c r="B203" i="9"/>
  <c r="F203" s="1"/>
  <c r="F232" s="1"/>
  <c r="C17" i="8" l="1"/>
  <c r="B234" i="9"/>
  <c r="F234" s="1"/>
  <c r="F246" s="1"/>
  <c r="C18" i="8" l="1"/>
  <c r="J111" i="30" l="1"/>
  <c r="J303" s="1"/>
  <c r="J307" l="1"/>
  <c r="J308" s="1"/>
  <c r="B9" i="9"/>
  <c r="F9" s="1"/>
  <c r="B21" l="1"/>
  <c r="F21" s="1"/>
  <c r="F22" l="1"/>
  <c r="J1752" i="30"/>
  <c r="B63" i="9" s="1"/>
  <c r="F63" s="1"/>
  <c r="C5" i="8" l="1"/>
  <c r="F102" i="9"/>
  <c r="C9" i="8" s="1"/>
  <c r="B154" i="9"/>
  <c r="F154" s="1"/>
  <c r="J2897" i="30" l="1"/>
  <c r="B186" i="9" s="1"/>
  <c r="F186" s="1"/>
  <c r="J2807" i="30"/>
  <c r="B184" i="9" s="1"/>
  <c r="F184" s="1"/>
  <c r="J2833" i="30"/>
  <c r="B185" i="9" s="1"/>
  <c r="F185" s="1"/>
  <c r="F189" l="1"/>
  <c r="C16" i="8" l="1"/>
  <c r="G616" i="10"/>
  <c r="E617" s="1"/>
  <c r="E619" l="1"/>
  <c r="G619" s="1"/>
  <c r="E620"/>
  <c r="G620" s="1"/>
  <c r="E618"/>
  <c r="G618" s="1"/>
  <c r="G617"/>
  <c r="E123" i="9" s="1"/>
  <c r="E124" l="1"/>
  <c r="F124" s="1"/>
  <c r="E126"/>
  <c r="F126" s="1"/>
  <c r="E125"/>
  <c r="F125" s="1"/>
  <c r="F123"/>
  <c r="F128" l="1"/>
  <c r="C10" i="8" s="1"/>
  <c r="I22" i="11" l="1"/>
  <c r="J2215" i="30" l="1"/>
  <c r="B157" i="9" s="1"/>
  <c r="F157" s="1"/>
  <c r="F163" s="1"/>
  <c r="F257" l="1"/>
  <c r="C12" i="8"/>
  <c r="C27" s="1"/>
  <c r="C49" l="1"/>
  <c r="C50" s="1"/>
  <c r="C51" l="1"/>
  <c r="C52" s="1"/>
  <c r="C28"/>
  <c r="C29" s="1"/>
  <c r="C31"/>
  <c r="C30"/>
  <c r="C32" l="1"/>
  <c r="C39" s="1"/>
  <c r="E40" s="1"/>
</calcChain>
</file>

<file path=xl/sharedStrings.xml><?xml version="1.0" encoding="utf-8"?>
<sst xmlns="http://schemas.openxmlformats.org/spreadsheetml/2006/main" count="9692" uniqueCount="1936">
  <si>
    <t>Sl.No</t>
  </si>
  <si>
    <t>Description</t>
  </si>
  <si>
    <t>No</t>
  </si>
  <si>
    <t>Length</t>
  </si>
  <si>
    <t>Breadth</t>
  </si>
  <si>
    <t>Depth</t>
  </si>
  <si>
    <t>Qty</t>
  </si>
  <si>
    <t>Remarks</t>
  </si>
  <si>
    <t>x</t>
  </si>
  <si>
    <t>Sqm</t>
  </si>
  <si>
    <t>Masonry works</t>
  </si>
  <si>
    <t>Grid</t>
  </si>
  <si>
    <t>Ground Floor</t>
  </si>
  <si>
    <t>Toilet</t>
  </si>
  <si>
    <t>Staircase</t>
  </si>
  <si>
    <t>Dining</t>
  </si>
  <si>
    <t>Lift front</t>
  </si>
  <si>
    <t>Deduction</t>
  </si>
  <si>
    <t>Opening</t>
  </si>
  <si>
    <t>D1</t>
  </si>
  <si>
    <t>1st Floor</t>
  </si>
  <si>
    <t>Lift</t>
  </si>
  <si>
    <t>FD</t>
  </si>
  <si>
    <t>2nd Floor</t>
  </si>
  <si>
    <t>Pantry</t>
  </si>
  <si>
    <t>Terrace Floor</t>
  </si>
  <si>
    <t>Parapet wall</t>
  </si>
  <si>
    <t>Head room</t>
  </si>
  <si>
    <t xml:space="preserve">Total Qty </t>
  </si>
  <si>
    <t>D2</t>
  </si>
  <si>
    <t>Tread</t>
  </si>
  <si>
    <t>Riser</t>
  </si>
  <si>
    <t>Landing</t>
  </si>
  <si>
    <t>Rmt</t>
  </si>
  <si>
    <t>Earth work Excavation</t>
  </si>
  <si>
    <t>Anti-Termite Treatment</t>
  </si>
  <si>
    <t>Concrete works</t>
  </si>
  <si>
    <t>Form works</t>
  </si>
  <si>
    <t xml:space="preserve">Joinery Works </t>
  </si>
  <si>
    <t>Iron and Steel works</t>
  </si>
  <si>
    <t xml:space="preserve">Flooring Works </t>
  </si>
  <si>
    <t xml:space="preserve">Skirting Works </t>
  </si>
  <si>
    <t xml:space="preserve">Dadoing Works </t>
  </si>
  <si>
    <t>Plastering Works</t>
  </si>
  <si>
    <t xml:space="preserve">Painting Works </t>
  </si>
  <si>
    <t>Water Proofing works</t>
  </si>
  <si>
    <t xml:space="preserve">Miscellaneous works </t>
  </si>
  <si>
    <t>Column</t>
  </si>
  <si>
    <t>Ground floor</t>
  </si>
  <si>
    <t>as same as plastering area</t>
  </si>
  <si>
    <t>X - axis</t>
  </si>
  <si>
    <t>Nos</t>
  </si>
  <si>
    <t>Cum</t>
  </si>
  <si>
    <t>Area</t>
  </si>
  <si>
    <t>Terrace area</t>
  </si>
  <si>
    <t>External</t>
  </si>
  <si>
    <t>Lift wall</t>
  </si>
  <si>
    <t>Internal</t>
  </si>
  <si>
    <t>Total Qty</t>
  </si>
  <si>
    <t>Lobby</t>
  </si>
  <si>
    <t>Terrace</t>
  </si>
  <si>
    <t>Sunshade</t>
  </si>
  <si>
    <t>Lintel</t>
  </si>
  <si>
    <t>I</t>
  </si>
  <si>
    <t xml:space="preserve">Sl.No </t>
  </si>
  <si>
    <t>Description of  Works</t>
  </si>
  <si>
    <t>no</t>
  </si>
  <si>
    <t>e</t>
  </si>
  <si>
    <t>d</t>
  </si>
  <si>
    <t>c</t>
  </si>
  <si>
    <t>b</t>
  </si>
  <si>
    <t>a</t>
  </si>
  <si>
    <t>Partition &amp; Panelling Works</t>
  </si>
  <si>
    <t>Designing, Providing and fixing in position Hot rolled structural steel Members / Sections consists of MS joists, channels, angles, purlins, pipes, hollow tubes, runners, insert plates, flats etc. at all levels. Surface preparation of all MS members by Sand blasting to SA 21/2 grade and painted with anti corrosive, PU paint (metallic finish) with compatible primer to a minimum film thickness of 75 microns and 2 coats of PU paint of and total dry film thickness 225 microns. Rate to including all materials, labour charges, scaffolding, stagging,  transportation, lead &amp; Lifts, wastage, cost of bolts, nuts, washers, welding, electrodes and connections required for the work. No extra on this account will be paid for, and the rate to include preparation of fabrication shop drawings for client's approval.  etc., as complete with all respects complying with relevant standard specification, as directed by the   departmental officers.</t>
  </si>
  <si>
    <t>Supplying and fixing of 300mm dia NP3 class Hume pipe</t>
  </si>
  <si>
    <t>Providing and laying in position the RCC  humepipes(NP3) of approved quality and make including collars,. necessary Excavation, PCC 1:2:4 supports, Sand cushion of 150mm on all sides, Refilling with earth, Compaction and making good the level, alignment etc., complete as directed by the   departmental officers.</t>
  </si>
  <si>
    <t>Supplying and fixing Ductile Iron manhole cover with frame as per approved make ,cover weight and being size mentioned below and specified size in the drawing etc., including painting with two coats of anticorrosive paint over a coat of primer etc., fixing locking arrangements, fixing Man-hole over, grouting the anchors with CC 1:2:4 (one cement, two fine aggregate and four coarse aggregate), as complete in all respects complying with relevant standard specifications and as directed by the   departmental officers.</t>
  </si>
  <si>
    <t>Supplying and fixing Poly-propylene rungs of 25 mm square bar of size 260 x 170 mm for access way including anchorage in walls to a minimum depth of 100 mm with C.C 1:2:4 (one cement, two fine aggregate and four coarse aggregate) etc. complete and as directed by the   departmental officers.( Duct ,Shafts &amp; UG sump, Over Head Tank and wherever necessary) Note: Rungs to be fixed before concreting and necessary provision to be made in the shuttering. etc complete, as directed by the   departmental officers.</t>
  </si>
  <si>
    <t>MISCELLANEOUS WORKS</t>
  </si>
  <si>
    <t>The parapet side wall / gutter wall shall be thoroughly cleaned to remove all dust particles and a layer of 15 mm thick C.M 1:3 shall be laid to a height of about 300 mm above the top of the terrace/Gutter slab on the Parapet / Gutter side wall admixed with water proofing compound like the CICO NO:1  or approved equivalent make. Providing, supplying, mixing, applying two coats of ready to use two component Acrylic polymer modified cement based, flexible, water proofing slurry like or approved equivalent to a thickness of 2 mm over the plastered surface of operation as per manufacturer's specification and as directed. (Plan area of Terrace only will be measured for payment )</t>
  </si>
  <si>
    <t>The gap  between brick bat shall be filled with cement mortar 1:4 admixed with waterproofing compound like CICO NO:1 or approved equivalent afterwards curing shall be carried out for two days a final layer of cement mortar of 1:3 admixed with water proofing compound like CICO NO:1 or approved equivalent make shall be  laid   to  a  thickness of  20 mm and draw a false line of 300 mm x 300 mm.</t>
  </si>
  <si>
    <t xml:space="preserve">On the spread mortar provide and lay  well burnt brick bats (COBA) to a average minimum thickness of 55 mm (i.e.. minimum 40 mm thickness at lower end and 70 mm thickness at higher end).  An additional layer of brick bat (COBA) shall be laid over the existing brick bat COBA surface if required to get the required gradient for adequate drainage giving a slope of approximately 1 in 120, which will be measured separately under relevant  item. </t>
  </si>
  <si>
    <t>The roof slab / gutter slab  shall be thoroughly cleaned to remove debris and dust, and applying 2 coats not less than 2 mm of polymer based Elastomeric Coating like TAPECRETE - RTU compound and cured for 7 days  and followed by a layer of 20 mm thick cement mortar 1:3 admixed with CICO NO:1 (or) other approved equivalent make shall  be spread over the prepared surface</t>
  </si>
  <si>
    <t>ii) Supply and Fixing 18 mm dia GI nozzles  (the hole shall be  about half the depth of the member to be grouted and nozzle should be 50mm)  the retaining wall, along  construction joints, and honey comb areas at a spacing not more than 1m c/c . Nozzles (can also) shall be post fixed by drilling holes using  drill machine and to be fixed with cement putty admixed with quick setting integral Waterproofing compound CICO NO.3 or approved equivalent in the ratio 1:1by weight .</t>
  </si>
  <si>
    <t>i) Making ' V ' grooves at the construction joints of size  20 x 20 mm and filling the "V" Groove with CICO No. 3 Quick Setting Waterproofing Compound admixed with cement.</t>
  </si>
  <si>
    <t>i) Making ' V ' grooves at the construction joints of size  20 x 20 mm and filling the "V" Groove with CICO No. 3 Quick Setting Waterproofing Compound admixed with cement</t>
  </si>
  <si>
    <t>ii) Applying injection grouting through the nozzles grouting pumps with a minimum pressure of 2 kg/sqcm with cement slurry admixed with CICO Non shrink Polymeric Water Proof Grouting Compound or approved equivalent at the rate of 2% by weight of cement .Grouting operations to be taken up after the concrete reached the full strength, i.e. 28 days  after casting of concrete.</t>
  </si>
  <si>
    <t>i)Supply and Fixing 75 mm long 18 mm dia GI nozzles in the hole of about half the depth of member size along  the construction joints, and honey comb areas at a spacing not more than 1m c/c.</t>
  </si>
  <si>
    <t xml:space="preserve">iv)The concrete slab  shall be thoroughly cleaned to remove debris and dust, and application of two coats not less than 2 mm thick of TAPECRETE - RTU Polymer Based Elastomeric Waterproof Coating over  well prepared surface </t>
  </si>
  <si>
    <t>iii) Sealing off the nozzles and level the surface using integral Waterproofing compound CICO NO.3 or approved equivalent in the ratio 1:1by weight.</t>
  </si>
  <si>
    <t>ii) Supply and Applying injection grouting through the nozzles grouting pumps with a minimum pressure of 2 kg/sqcm with cement slurry admixed with CICO Non shrink Polymeric Water Proof Grouting Compound or approved equivalent at the rate of 2% by weight of cement.</t>
  </si>
  <si>
    <t xml:space="preserve">i)Supply and Fixing 75 mm long 18 mm dia GI nozzles in the hole of about half the depth of member size in grid pattern at a spacing not more than 1.0 meter c/c while casting the bottom slab and along  construction joints at a spacing not more than 1.0 meter c/c along the construction joints. </t>
  </si>
  <si>
    <t xml:space="preserve">Supply and laying water proofing treatment for bottom of over head tanks  covering the following order and  consisting of following operations. </t>
  </si>
  <si>
    <t>Supply and grouting the gaps around the pipes at any dia should be filed in order to provide a proper bond and the same to be aligned by the respective agency.  Clean the entire surface and remove the loose particles from the core area. Minimum of 10mm all around gap to be provided between the pipe and the core Provide shuttering below the core apply one coat of CICO LATEX over the area and fill up the hole with CICO GROUT - GP Polymer Based Non-Shrink Grout and finish the surface smoothly.</t>
  </si>
  <si>
    <t>iii) Supply and Applying injection grouting through the nozzles grouting pumps with a minimum pressure of 2 kg/sqcm with cement slurry admixed with CICO Non shrink Polymeric Water Proof Grouting Compound or approved equivalent at the rate of 2% by weight of cement.</t>
  </si>
  <si>
    <t>ii) Supply and Fixing of 50 long 18 mm dia GI nozzles in the hole of about half the depth of member size along  construction joints, and honey comb areas at a spacing not more than 1m c/c.</t>
  </si>
  <si>
    <t>v) Cut the projected nozzles if required over the concrete surface and fill with  cement putty admixed with quick setting integral Waterproofing compound CICO NO.3 or approved equivalent in the ratio 1:1by weight.</t>
  </si>
  <si>
    <t>iv) Sealing off the nozzles after grouting operation is over with cement putty admixed with quick setting integral Waterproofing compound CICO NO.3 or approved equivalent in the ratio 1:1by weight.</t>
  </si>
  <si>
    <t>iii) Supply and Applying injection grouting through the nozzles by hand operated grouting pumps with a minimum pressure of 2 kg/sqcm with cement slurry admixed with CICO Non shrink Polymeric Water Proof Grouting Compound or approved equivalent at the rate of 2% by weight of cement .Grouting operations to be taken up after the concrete reached the full strength, i.e 28 days after casting of concrete.</t>
  </si>
  <si>
    <t xml:space="preserve"> i) Making ' V ' grooves at the construction joints of size  20 x 20 mm and clean the surface with wire brush, and filling the "V" Groove with CICO No. 3 Quick Setting Waterproofing Compound admixed with cement</t>
  </si>
  <si>
    <t>v)Supply and applying one coat of TAPECRETE Acrylic Polymer Modified Cementitious Slurry Coat over  well prepared surface as a Primer and applying CICO CORCHEM 206 - I Polyurethane Based Elastomeric Coating to the thickness of 1.5 mm in 2 coats over TAPECRETE slurry coat applied surface.</t>
  </si>
  <si>
    <t>iv) Sealing &amp; cutting of nozzles and levelling the surface using integral Waterproofing compound CICO NO.3 or approved equivalent in the ratio 1:1by weight.</t>
  </si>
  <si>
    <t>iv) Sealing &amp; cutting of the nozzles, and levelling the surface using integral Waterproofing compound CICO NO.3 or approved equivalent in the ratio 1:1by weight.</t>
  </si>
  <si>
    <t xml:space="preserve">ii)Supply and Fixing 75 mm long 18 mm dia GI nozzles in the hole of about half the depth of member size in grid pattern at a spacing not more than 1.0 meter c/c while casting the raft slab and along  construction joints at a spacing not more than 1.0 meter c/c along the construction joints. </t>
  </si>
  <si>
    <t xml:space="preserve">WATER PROOFING WORKS </t>
  </si>
  <si>
    <t>Providing and applying Texture paint finish for exterior / interior surface as per Manufacturers specification and as directed. Application of primer by diluting the  texture compound by mineral on the plastered surface and apply final two coats of exterior / interior emulsion on the primer. Rate including all brush, ladder, scrapping, washing, materials, labour charges, wastages , cleaning, necessary lead and lifts, scaffolding, stagging, working at all levels, elevations,  transportation charges, loading, unloading, curing, sanding, touch-up putty, surface thoroughly cleaned and wetted before painting as complete with all respects complying with relevant standard specification and as directed by the departmental officers..( Internal surfaces)</t>
  </si>
  <si>
    <t>Supplying and painting of  2 coats of weather proof exterior emulsion with high sheen, anti algal properties over one coat wall exterior primer of approved quality and shade etc., complete.
Rate including all brush, ladder, scrapping, washing, materials, labour charges, wastages , cleaning, necessary lead and lifts, scaffolding, stagging, working at all levels, elevations, transportation charges, loading, unloading, curing, sanding, touch-up putty, surface thoroughly cleaned and wetted before painting as complete with all respects complying with relevant standard specification and as directed by the departmental officers.</t>
  </si>
  <si>
    <t>Applying white washing three coats to ceilings and walls with pure shell lime or fat lime  conforming to IS-712 all as per Specification and as directed. complying with relevant standard specification, as directed by the departmental officers.</t>
  </si>
  <si>
    <t xml:space="preserve">PAINTING WORKS </t>
  </si>
  <si>
    <t xml:space="preserve">PLASTERING WORKS </t>
  </si>
  <si>
    <t>WALL DADO</t>
  </si>
  <si>
    <t>SKIRTING WORKS</t>
  </si>
  <si>
    <t>Rate including all materials, labour charges, wastages, necessary lead and lifts, working at all levels, necessary formwork,  transportation charges, pumping, loading, unloading, preparation of surface, necessary hacking in RCC surface, power trowel, smooth finishing, fixing of screed drips, tools and plants, fuel, curing as complete with all respects complying with relevant standard specification and as directed by the departmental officers.</t>
  </si>
  <si>
    <t>FLOORING WORKS</t>
  </si>
  <si>
    <t>Supplying, fabricating, erecting and fixing in position Monkey ladders and all miscellaneous steel works as shown in the drg. or as directed by the Engineer at all heights and levels using MS angles channels, rails, tees, plates, flats, rounds, squares etc., of various sizes and other structural steel sections.  The rate shall be inclusive of finishing the MS surfaces shall be painted with 2 Coats (each coat of 25 microns DFT) of red oxide zinc phosphate primer and 2 Coats (each coat of 35 microns DFT) of synthetic enamel paint of approved colour and make
Rate including all materials, labour charges, wastages, necessary lead and lifts, transportation charges, loading, unloading, scaffolding, staging, straightening, cutting, fabricating, welding, bending to shape bolting, installation charges, fuel, consumables,  tools and tackles as complete with all respects complying with relevant standard specification and as directed by the   departmental officers.</t>
  </si>
  <si>
    <t xml:space="preserve">IRON AND STEEL WORKS </t>
  </si>
  <si>
    <t>f) Frames to be provided with hinge plates 3 mm thick pre-drilled to receive hinges for screw mounted fixing. All cut outs including hinge plates, strike plates to have mortar guard covers from inside to prevent cement, dust ingress into cut outs at the time of grouting.
g) Frames to have rubber shutter silencer on strike jambs for single shutter frames and on the head jambs for double shutter frames.
h) Frames shall be finished with Pure Polyester Powder Coated to any RAL Shade to withstand 300 hours of salt spray.</t>
  </si>
  <si>
    <t>Frame:
a) Material - 1.60 mm max (16 gauge) galvanized steel sheets complying to IS 277 Code of GPL Grade with Z 120 Coating.
b) Profile - Double Rebated Frame to be of dimensions 150 mm X 58 mm and Single Rebated Frame to be of dimensions 100mm x 58 mm.
c) Manufacture - 1.60 / 1.2 mm thick galvanized steel sheet to the specified profiles and dimensions. Frames manufactured at factory shall be knock down form with mitered assembly at site.
d) Door frame preparations – to be provided with back plates on all jambs with provision for anchor bolt fixing to wall openings. All frames to have reinforcement pads for fixing of door closer, at appropriate location as per manufacturer’s details.
e) Frames to have factory finish-pre-punched cut outs to receive specific hardware and
ironmongery.</t>
  </si>
  <si>
    <t>Supply and fixing Fire rated door 2hr. rating hollow  metal  doors  -  Powder  Coated with vision panel of size 200 x 300mm.</t>
  </si>
  <si>
    <t>2 to 3m length</t>
  </si>
  <si>
    <t>Upto 2m length</t>
  </si>
  <si>
    <t xml:space="preserve">JOINERY WORKS </t>
  </si>
  <si>
    <t>Second Floor</t>
  </si>
  <si>
    <t>First Floor</t>
  </si>
  <si>
    <t>f</t>
  </si>
  <si>
    <t>MASONRY WORKS</t>
  </si>
  <si>
    <t>Curved surfaces such as  RC walls, sides and bottom of any curved beam, sides of curved slab, lintel, curved sunshade,  ramp of any curved shapes and curved slab bottom and sides in elevation features and structures .</t>
  </si>
  <si>
    <t>Vertical surfaces - For all type of walls (any thickness) including, retaining wall, core walls, shear wall, parapet wall, fins, facia, kerb and median etc... for all floors &amp; levels.</t>
  </si>
  <si>
    <t>For plane surfaces such as rectangular, square columns and chamfered sunshades, top and bottom slab of boxing, kitchen platform, loft and such other structural members</t>
  </si>
  <si>
    <t>Supplying and erecting centering for sides and soffits including supports and strutting up to 3.30 m height with all cross bracing for plane surfaces as detailed below, using mild steel sheets of 90 X 60 cm 10 gauge stiffened with MS angle of 25 X 25 X 3mm for boarding, laid over adjustable span &amp; jacks and supported by 50mm dia pipes for general pipes scaffolding systems @ a spacing of 1.20m c/c and vertical connected at a height of 2.0m c/c including 'C' &amp; 'U' clamps and base receiver cup at bottom for connecting pipes etc and removable systems etc...as complete with all respects complying with relevant standard specification, as directed by the departmental officers/ Consultant.</t>
  </si>
  <si>
    <t>FORM WORK</t>
  </si>
  <si>
    <t>MT</t>
  </si>
  <si>
    <t>100mm thick, 450mm wide Precast slab</t>
  </si>
  <si>
    <t>Foundation / Basement</t>
  </si>
  <si>
    <t>REINFORCED CEMENT CONCRETE</t>
  </si>
  <si>
    <t>CONCRETE WORKS</t>
  </si>
  <si>
    <t>The chemical to be used for the treatment and concentration of the chemical solutions should be as laid down in IS - 6313 Part II.as complete with all respects complying with relevant standard specification, as directed by the departmental officers.</t>
  </si>
  <si>
    <t>The work should be carried out by an approved and registered specialist pest control agency only. Tenderer to furnish the name of the proposed specialist firm. A 10 years post application guarantee against defects shall be furnished by the main Contractor.
 Note : Horizontal plan area at ground floor level of the building will be measured and paid.</t>
  </si>
  <si>
    <t xml:space="preserve">Providing Pre - construction Anti - termite treatment and creating a chemical barrier to the building by injecting chemical emulsion of required concentration under grade slab and grade beam and below the ground level as well as outside all-round the building at plinth level etc as per the instructions of manufacturer and as directed by the departmental officers.  The treatment shall be carried out strictly in accordance with the technical specification and conforming to IS 6313 or equivalent BS specification.  The chemical to be used as insecticide for the treatment shall be Biflex Tc and the application shall be diluted 1 part of chemical Biflex Tc with 49 parts of water to get 0.05% emulsion and strictly in accordance with the manufacturer’s specification. </t>
  </si>
  <si>
    <t>ANTI-TERMITE TREATMENT</t>
  </si>
  <si>
    <t>Carting away the surplus earth excavated from the basement foundations / footings in the campus, is to be carted away to the desired lead of 20 kms from the site . The rate shall include loading into the tipper/ lorry, transporting and unloading etc., complete with all respects complying with relevant standard specification, as directed by the   departmental officers. Rate to include materials, loading, unloading, transportation, plant and machinery, hire and fuel charges for tools and plants and other incidental charges, royalties, seignorage and taking statutory approvals as necessary to carry out the work as complete with all respects complying with relevant standard specification, as directed by the departmental officers.</t>
  </si>
  <si>
    <t>Supplying and filling in foundations and the area wherever specified with 'approved material' good quality filling materials in plinths, area development etc. wherever specified in layers of not exceeding 150 mm thick including clearing of jungle, bushes, breaking clods, storing, transportation, double handling, watering, compacting each layer with vibratory compactor and at un-accessible places with wooden/steel rammers to achieve 95% proctor density at optimum moisture content, all leads and lifts, bailing/ pumping out of water to keep site dry while backfilling complete as directed.
Rate to include materials, loading, unloading, transportation, plant and machinery, hire and fuel charges for tools and plants and other incidental charges, royalties, seignorage and taking statutory approvals as necessary to carry out the work as complete with all respects complying with relevant standard specification, as directed by the   departmental officers.</t>
  </si>
  <si>
    <t>0 to 2m depth.</t>
  </si>
  <si>
    <t>2 to 3m depth.</t>
  </si>
  <si>
    <t xml:space="preserve"> </t>
  </si>
  <si>
    <t>Rate
(in Rs.)</t>
  </si>
  <si>
    <t>Unit</t>
  </si>
  <si>
    <t>Description of Works</t>
  </si>
  <si>
    <t>Quantity</t>
  </si>
  <si>
    <t>Sl.
No.</t>
  </si>
  <si>
    <t>Mazdoor II class</t>
  </si>
  <si>
    <t>Mazdoor I class</t>
  </si>
  <si>
    <t>Rate per sqm</t>
  </si>
  <si>
    <t>Rate per cum</t>
  </si>
  <si>
    <t>Sundries</t>
  </si>
  <si>
    <t>cum</t>
  </si>
  <si>
    <t>Labour charges for filling in the trenches and levelling with required tools and plants</t>
  </si>
  <si>
    <t>Cost of 40 mm aggregate</t>
  </si>
  <si>
    <t>Total per kg</t>
  </si>
  <si>
    <t>LS</t>
  </si>
  <si>
    <t>Cost of anchor fasteners, grouting etc</t>
  </si>
  <si>
    <t>Painting the pipes and other membrs</t>
  </si>
  <si>
    <t>kg</t>
  </si>
  <si>
    <t>Petty iron work for truss, straps etc (labour only) P34/R-1</t>
  </si>
  <si>
    <t>Rate as per item no.</t>
  </si>
  <si>
    <t>Each</t>
  </si>
  <si>
    <t>Total per Rmt</t>
  </si>
  <si>
    <t xml:space="preserve">Earth work excavation TWAD -RTAE- UP TO 1MTRS </t>
  </si>
  <si>
    <t>Addittional Labour For EARTH WORK EXCAVATION</t>
  </si>
  <si>
    <t>Mazdoor II Class</t>
  </si>
  <si>
    <t>Mazdoor I Class</t>
  </si>
  <si>
    <t>Plumber I Class</t>
  </si>
  <si>
    <t>Labour for 1 m</t>
  </si>
  <si>
    <t>Hume pipe cost</t>
  </si>
  <si>
    <t>Rate for each</t>
  </si>
  <si>
    <t>Fixing charges</t>
  </si>
  <si>
    <t>Total per sqm</t>
  </si>
  <si>
    <t>sqm</t>
  </si>
  <si>
    <t>Total per cum</t>
  </si>
  <si>
    <t>Rate as per SR page 45 / item no.150</t>
  </si>
  <si>
    <t>L.s</t>
  </si>
  <si>
    <t>Sundries for brushes ,sand-paper,putty,plaster 'of pairs etc.</t>
  </si>
  <si>
    <t>l.s</t>
  </si>
  <si>
    <t>Painter I class</t>
  </si>
  <si>
    <t>litre</t>
  </si>
  <si>
    <t>Primer</t>
  </si>
  <si>
    <t>Exterior Emulsion Paint SR item 149 / Page 45</t>
  </si>
  <si>
    <t>Total for 10 sqm</t>
  </si>
  <si>
    <t>Sub total</t>
  </si>
  <si>
    <t>Sundries including brushes,Gum,Canjee  etc.,</t>
  </si>
  <si>
    <t>Subtotal</t>
  </si>
  <si>
    <t>Fine screened shell lime</t>
  </si>
  <si>
    <t>Mason I Class</t>
  </si>
  <si>
    <t>Rate for 1 sq.m.</t>
  </si>
  <si>
    <t>Total for 10 sq.m.</t>
  </si>
  <si>
    <t>Nos.</t>
  </si>
  <si>
    <t>waterproofing compound @2%</t>
  </si>
  <si>
    <t>cu.m.</t>
  </si>
  <si>
    <t>Cement mortar 1:3</t>
  </si>
  <si>
    <t>waterproofing compound @2% (P34 / item 1)</t>
  </si>
  <si>
    <t>Cement mortar 1:5</t>
  </si>
  <si>
    <t xml:space="preserve">INTERNAL AND EXTERNAL FINISHES </t>
  </si>
  <si>
    <t>each</t>
  </si>
  <si>
    <t>MAZDOOR II</t>
  </si>
  <si>
    <t>NO</t>
  </si>
  <si>
    <t>MAZDOOR I</t>
  </si>
  <si>
    <t>MASON II</t>
  </si>
  <si>
    <t>MASON I</t>
  </si>
  <si>
    <t>Labour for laying</t>
  </si>
  <si>
    <t>Kg</t>
  </si>
  <si>
    <t>Cement Mortar 1:3</t>
  </si>
  <si>
    <t>STONE CUTTER I CLASS</t>
  </si>
  <si>
    <t>Granite slabs of 20 mm thick as per (SR.item.no 29 c  page.no 35)</t>
  </si>
  <si>
    <t>Rate for 1 Rmt</t>
  </si>
  <si>
    <t>Rate for 15 Rmt</t>
  </si>
  <si>
    <t>Mason I class</t>
  </si>
  <si>
    <t>Labour</t>
  </si>
  <si>
    <t>White Cement</t>
  </si>
  <si>
    <t>m 3</t>
  </si>
  <si>
    <t>Material Rate for 15 Rmt</t>
  </si>
  <si>
    <t>Cost of kota stone slabs ( SR Item no.36 Page no.36)</t>
  </si>
  <si>
    <t>Labour:</t>
  </si>
  <si>
    <t>Rate per Sqm</t>
  </si>
  <si>
    <t>Total for 10sqm area</t>
  </si>
  <si>
    <t>Mason II class</t>
  </si>
  <si>
    <t>Cement Mortar 1:4</t>
  </si>
  <si>
    <t>Mazdoor I class for rubbing and polishing</t>
  </si>
  <si>
    <t>no.</t>
  </si>
  <si>
    <t>Labour for pointing:</t>
  </si>
  <si>
    <t>Mazdoor  Category II</t>
  </si>
  <si>
    <t>Mazdoor Category I</t>
  </si>
  <si>
    <t>Mason II Class</t>
  </si>
  <si>
    <t xml:space="preserve">colour Cement  </t>
  </si>
  <si>
    <t>Pointing with cement</t>
  </si>
  <si>
    <t>CM 1:4</t>
  </si>
  <si>
    <t>M2</t>
  </si>
  <si>
    <t xml:space="preserve">Kotah stone slabs of 20 mm thick (Single slab) ( SR.Item.No 37 ) </t>
  </si>
  <si>
    <t>Sq.m.</t>
  </si>
  <si>
    <t>Rate for 10 sqm</t>
  </si>
  <si>
    <t>colour Cement</t>
  </si>
  <si>
    <t xml:space="preserve">Kotah stone slabs of 20 mm thick ( SR.Item.No 36 / p 36 )  </t>
  </si>
  <si>
    <t>Sundries for blades and equipments</t>
  </si>
  <si>
    <t xml:space="preserve">For protecting and with Gypsum / POP layer  over  Plastic sheet </t>
  </si>
  <si>
    <t>Labour charges For leather finishing @ Rs. 50.00 / sqft</t>
  </si>
  <si>
    <t>Stone Cutter I  Class</t>
  </si>
  <si>
    <t xml:space="preserve">colour Cement </t>
  </si>
  <si>
    <t>%</t>
  </si>
  <si>
    <t>Cost of slab for single slab for more than 600 x 600 to the full width of the each step (20% extra)</t>
  </si>
  <si>
    <t>Multicolour granite of 18 mm thick (leather finish)</t>
  </si>
  <si>
    <t>Say per Sqm</t>
  </si>
  <si>
    <t>Cement Mortar 1:4.</t>
  </si>
  <si>
    <t>Ruby red, raw silk Granite slabs of 18mm Tk ( Page.No.36 / SR.Item.No 29 B )</t>
  </si>
  <si>
    <t>Sundries for blades etc.,</t>
  </si>
  <si>
    <t>Each hole cutting</t>
  </si>
  <si>
    <t xml:space="preserve">White Cement </t>
  </si>
  <si>
    <t>Add for rubbing the top smooth, power troweling and thread lining etc</t>
  </si>
  <si>
    <t xml:space="preserve">Cost of Hardner </t>
  </si>
  <si>
    <t>Cement concrete 1:1.5:3 (10sqm x 0.065 = 0.65 cum)</t>
  </si>
  <si>
    <t>Rate for 1 Cum</t>
  </si>
  <si>
    <t>LIT</t>
  </si>
  <si>
    <t>ADMIXTURE CHARGES</t>
  </si>
  <si>
    <t>Mazdoor Cate   II</t>
  </si>
  <si>
    <t>Mazdoor Cate   I</t>
  </si>
  <si>
    <t>Mason IInd class</t>
  </si>
  <si>
    <t>CM 1:1.5</t>
  </si>
  <si>
    <t>HBGS jelly 6 to12 mm and below</t>
  </si>
  <si>
    <t>Details for 10m3(Sub data)</t>
  </si>
  <si>
    <t xml:space="preserve">Cost of structural steel </t>
  </si>
  <si>
    <t>Cost per Rmt</t>
  </si>
  <si>
    <t>Cost per sqm</t>
  </si>
  <si>
    <t>Rate for 1 Sqm</t>
  </si>
  <si>
    <t>Sundries for plugs, screws etc.,</t>
  </si>
  <si>
    <t>Labour wrought and putup for CW Scantling</t>
  </si>
  <si>
    <t>Teak Wood Scantling over 2.0m and below 3.0m in Length</t>
  </si>
  <si>
    <t>Teak Wood Scantling upto 2m length</t>
  </si>
  <si>
    <t>RATE FOR C.W SCANTLING UPTO 4m LONG</t>
  </si>
  <si>
    <t>C.W SCANTLING UPTO 4m LONG</t>
  </si>
  <si>
    <t>LABOUR CHARGE FOR WROUGHT AND PUT UP</t>
  </si>
  <si>
    <t>Scantling up to 4.00m in length</t>
  </si>
  <si>
    <t>M.T</t>
  </si>
  <si>
    <t>Second floor</t>
  </si>
  <si>
    <t>First floor</t>
  </si>
  <si>
    <t>Rate for 1 cum</t>
  </si>
  <si>
    <t>MAIN DATA</t>
  </si>
  <si>
    <t xml:space="preserve">Rate per Sqm </t>
  </si>
  <si>
    <t>Rate per sqm fro every one metre high (or part thereof)</t>
  </si>
  <si>
    <t>Hence Rate per sq.mt. area with 3m high</t>
  </si>
  <si>
    <t>Total for 10..Sq. Mt. area with 3 m high</t>
  </si>
  <si>
    <t>Ls</t>
  </si>
  <si>
    <t xml:space="preserve">Add for nails and screws </t>
  </si>
  <si>
    <t>No.</t>
  </si>
  <si>
    <t>Mazdoor Ist class</t>
  </si>
  <si>
    <t>Carpenter Ist class</t>
  </si>
  <si>
    <t>For One use</t>
  </si>
  <si>
    <t>Casurina Props 10cm to 13cm dia at 75cm c/c for 5 use</t>
  </si>
  <si>
    <t>Rate per Sq.Mt</t>
  </si>
  <si>
    <t xml:space="preserve">Sundries </t>
  </si>
  <si>
    <t>Cost for 10 sqm</t>
  </si>
  <si>
    <t>Sq.Mt</t>
  </si>
  <si>
    <t>Add 100% for double side centering</t>
  </si>
  <si>
    <t>Cost of centring for plane surfaces</t>
  </si>
  <si>
    <t>For Round ( Circular) Columns</t>
  </si>
  <si>
    <t>Add 50% for double side centering</t>
  </si>
  <si>
    <t>Add 10% for double side centering</t>
  </si>
  <si>
    <t>Add 20% for double side centering</t>
  </si>
  <si>
    <t>Total for 10..Sq. Mt.</t>
  </si>
  <si>
    <t xml:space="preserve">Add for periodical cleaning, oiling the MS materials and painting </t>
  </si>
  <si>
    <t>Add for wedges, coils, nails etc.</t>
  </si>
  <si>
    <t>Fitter II nd Class</t>
  </si>
  <si>
    <t>Use</t>
  </si>
  <si>
    <t>Silver oak Joists and Casurina Props</t>
  </si>
  <si>
    <t>Set</t>
  </si>
  <si>
    <t>Cost f MS sheet and MS Angles</t>
  </si>
  <si>
    <t>Main Data for centering 10.00 Sq.Mt</t>
  </si>
  <si>
    <t>Deduct for strutting cost (Casurina props and labours)</t>
  </si>
  <si>
    <t>Main data fro column footing / raft etc</t>
  </si>
  <si>
    <t>Total for 5 uses</t>
  </si>
  <si>
    <t>Silver Oak joists of size 10cm x 6.5cm</t>
  </si>
  <si>
    <t>For 5 Uses</t>
  </si>
  <si>
    <t>Cost of all MS Sheets and MS angles as above</t>
  </si>
  <si>
    <t>For 40 uses</t>
  </si>
  <si>
    <t>Total for each set</t>
  </si>
  <si>
    <t>Add for cutting, bending welding charges</t>
  </si>
  <si>
    <t>Cost of MS sheet and angles for each set weight of MS sheet BG 10 of size 90cm x 60cm x 3.175mm
3.175 x 7850/1000 = 24.92 Kg
24.92 Kg x 0.54 Sq.Mt = 13.46 Kg
Weight of MS angle of size 25mm x 25cm x 3mm
3.6 x 1.1Kg/Mt = 4.00 Kg.</t>
  </si>
  <si>
    <t>Formwork</t>
  </si>
  <si>
    <t>Rate per MT</t>
  </si>
  <si>
    <t>Rate per Qtl</t>
  </si>
  <si>
    <t>Rate For 1Qtl.</t>
  </si>
  <si>
    <t xml:space="preserve">Fitter I class for bending and tying  </t>
  </si>
  <si>
    <t>Qtl</t>
  </si>
  <si>
    <t>Cost of steel</t>
  </si>
  <si>
    <t>Total rate for 0.60 sqm</t>
  </si>
  <si>
    <t>Casting, finishing, curing and transporting to the work spot and fixing in position, pointing wherever required</t>
  </si>
  <si>
    <t>Cost of M30 grade concrete using 20 mm down graded metal</t>
  </si>
  <si>
    <t>use</t>
  </si>
  <si>
    <t>Cost of moulding</t>
  </si>
  <si>
    <t>Main Data for 0.60 sqm</t>
  </si>
  <si>
    <t>Cost per use</t>
  </si>
  <si>
    <t>Total cost of moulding for 5 uses</t>
  </si>
  <si>
    <t>Wrought and putup</t>
  </si>
  <si>
    <t>Country wood scantlings upto 4m in length</t>
  </si>
  <si>
    <t>Moulding for 5 uses</t>
  </si>
  <si>
    <t xml:space="preserve">Consider a slab of size 1.00 X 0.60 m </t>
  </si>
  <si>
    <t>Total rate per sqm</t>
  </si>
  <si>
    <t>Concrete 1:2:4 required = (1x0.6x1)</t>
  </si>
  <si>
    <t>Alround ={[(1+.065+.065)x2+(0.6+0.065+0.065)]x2)0.1*0.065}</t>
  </si>
  <si>
    <t>Country wood required for moulding (wood 100 x 65 mm)</t>
  </si>
  <si>
    <t>FOUNDATION &amp; PLINTH LEVEL</t>
  </si>
  <si>
    <t>CUM</t>
  </si>
  <si>
    <t xml:space="preserve">Vibration charges </t>
  </si>
  <si>
    <t>As above</t>
  </si>
  <si>
    <t>Foundation and basement</t>
  </si>
  <si>
    <t xml:space="preserve">ADMIXTURE CHARGES  Fosroc Auramix 300 Plus 1% by weight of cementitious products  </t>
  </si>
  <si>
    <t>EACH</t>
  </si>
  <si>
    <t>NOS</t>
  </si>
  <si>
    <t>CEMENT</t>
  </si>
  <si>
    <t>SAND</t>
  </si>
  <si>
    <t>10 TO 12 MM HARD BROKEN STONE JELLY</t>
  </si>
  <si>
    <t>20 MM HARD BROKEN STONE JELLY</t>
  </si>
  <si>
    <t xml:space="preserve">DESIGN MIX M-30 GRADE CONCRETE FOR </t>
  </si>
  <si>
    <t xml:space="preserve">Mason II class </t>
  </si>
  <si>
    <t>Cement mortar(1 :3)</t>
  </si>
  <si>
    <t>RATE PER CUM</t>
  </si>
  <si>
    <t>TOTAL FOR 10 CUM</t>
  </si>
  <si>
    <t>Sundries for curing etc</t>
  </si>
  <si>
    <t>NO.</t>
  </si>
  <si>
    <t>Mazdoor II</t>
  </si>
  <si>
    <t>Mazdoor I</t>
  </si>
  <si>
    <t>Mason II</t>
  </si>
  <si>
    <t>Cement Mortar (1:4)</t>
  </si>
  <si>
    <t xml:space="preserve"> H.B.Stone Jelly 40mm</t>
  </si>
  <si>
    <t>*</t>
  </si>
  <si>
    <t>CONCRETE WORKS (PCC and RCC)</t>
  </si>
  <si>
    <t>TOTAL FOR 1 CUM</t>
  </si>
  <si>
    <t>TOTAL FOR 1.0 CUM</t>
  </si>
  <si>
    <t>LABOUR CHARGES FOR FILLING</t>
  </si>
  <si>
    <t>COST OF FILLING SAND</t>
  </si>
  <si>
    <t>Rate for initial lift upto 2.00 m depth</t>
  </si>
  <si>
    <t>2.00 - 3.00 m Depth</t>
  </si>
  <si>
    <t>MIXING OF MORTAR</t>
  </si>
  <si>
    <t>CEMENT MORTAR(1:8)</t>
  </si>
  <si>
    <t>CEMENT MORTAR(1:7)</t>
  </si>
  <si>
    <t>CEMENT MORTAR(1:6)</t>
  </si>
  <si>
    <t>CEMENT MORTAR(1:5)</t>
  </si>
  <si>
    <t>CEMENT MORTAR(1:4)</t>
  </si>
  <si>
    <t>CEMENT MORTAR(1:3)</t>
  </si>
  <si>
    <t>CEMENT MORTAR(1:2)</t>
  </si>
  <si>
    <t>CEMENT MORTAR(1:1.5)</t>
  </si>
  <si>
    <t>CEMENT MORTAR(1:1)</t>
  </si>
  <si>
    <t>USING SAND FOR CONCRETE AND MASONRY</t>
  </si>
  <si>
    <t>AMOUNT</t>
  </si>
  <si>
    <t>PER</t>
  </si>
  <si>
    <t>RATE</t>
  </si>
  <si>
    <t>COST OF MATERIALS</t>
  </si>
  <si>
    <t>QTY</t>
  </si>
  <si>
    <t>S.No</t>
  </si>
  <si>
    <t xml:space="preserve">Main Sheet ( SOR )   </t>
  </si>
  <si>
    <t>CEMENT (supply at site)</t>
  </si>
  <si>
    <t>1000nos.</t>
  </si>
  <si>
    <t>CUM.</t>
  </si>
  <si>
    <t xml:space="preserve">Page.No. 17 / Sch.Item.No 66 &amp; P.no. 32 ( Annex-V lead charges ) </t>
  </si>
  <si>
    <t>SLACKED SHELL LIME</t>
  </si>
  <si>
    <t xml:space="preserve">Page.No. 16 /  Sch.Item.No 48 v  &amp; P. no. 32 (Annex-V lead charges ) </t>
  </si>
  <si>
    <t>HARD BROKEN STONE JELLY 40mm</t>
  </si>
  <si>
    <t xml:space="preserve">Page.No. 16 /  Sch.Item.No 48 vii  &amp; P. no. 32 (Annex-V lead charges ) </t>
  </si>
  <si>
    <t>HARD BROKEN STONE JELLY 20mm</t>
  </si>
  <si>
    <t xml:space="preserve">Page.No. 16 /  Sch.Item.No 48 viii  &amp; P. no. 32 (Annex-V lead charges ) </t>
  </si>
  <si>
    <t>HARD BROKEN STONE JELLY 12mm</t>
  </si>
  <si>
    <t xml:space="preserve">Page.No. 16 /  Sch.Item.No 48 ix  &amp; P. no. 32 (Annex-V lead charges ) </t>
  </si>
  <si>
    <t>HARD BROKEN STONE JELLY 10mm</t>
  </si>
  <si>
    <t xml:space="preserve">Page.No. 16 /  Sch.Item.No 48 x  &amp; P. no. 32 (Annex-V lead charges ) </t>
  </si>
  <si>
    <t>HARD BROKEN STONE JELLY 6mm</t>
  </si>
  <si>
    <t>Material Cost at site</t>
  </si>
  <si>
    <t>Cost of Materials</t>
  </si>
  <si>
    <t>Total Lead</t>
  </si>
  <si>
    <t>Source</t>
  </si>
  <si>
    <t xml:space="preserve">SOR REF </t>
  </si>
  <si>
    <t>Description of Materials</t>
  </si>
  <si>
    <t>Sl. No.</t>
  </si>
  <si>
    <t xml:space="preserve">Petty iron work for truss, straps etc., (wrought &amp; fixed)
labour only </t>
  </si>
  <si>
    <t>Page.No. 25 /B3</t>
  </si>
  <si>
    <t>Page.No. 25 /B2</t>
  </si>
  <si>
    <t>Page.No. 25 /B1</t>
  </si>
  <si>
    <t>Page.No. 25 /A3</t>
  </si>
  <si>
    <t>Page.No. 25 /A2</t>
  </si>
  <si>
    <t>Page.No. 25 /A1</t>
  </si>
  <si>
    <t>Lifting Charges Below Ground level</t>
  </si>
  <si>
    <t>Masonry for every addl floor</t>
  </si>
  <si>
    <t xml:space="preserve">Page.No. 25 /B1
</t>
  </si>
  <si>
    <t>Masonry upto 4,5 m from Plinth (i.e) GF lvl</t>
  </si>
  <si>
    <t xml:space="preserve">Page.No. 25 /A2
</t>
  </si>
  <si>
    <t xml:space="preserve">Page.No. 24 /A1
</t>
  </si>
  <si>
    <t>Lifting Charges Above Ground level</t>
  </si>
  <si>
    <t>Page.No. 23
Sch.Item.No.85</t>
  </si>
  <si>
    <t>Earth filling charges</t>
  </si>
  <si>
    <t>Page.No. 23
Sch.Item.No.84</t>
  </si>
  <si>
    <t>Sand filling charges</t>
  </si>
  <si>
    <t>Page.No. 25
Sch.Item.No.1</t>
  </si>
  <si>
    <t>Vibrat-charges(P.C.C)</t>
  </si>
  <si>
    <t>Page.No. 25
Sch.Item.No.2</t>
  </si>
  <si>
    <t>Vibrat-charges(R.C.C)</t>
  </si>
  <si>
    <t>Page.No. 29
Sch.Item.No.3</t>
  </si>
  <si>
    <t>Mortar mix charges - Cement by Manual</t>
  </si>
  <si>
    <t>FITTER-II (Pipe &amp; Bar Bend)</t>
  </si>
  <si>
    <t>FITTER-I (Pipe &amp; Bar Bend)</t>
  </si>
  <si>
    <t>STONE CUTTER-II</t>
  </si>
  <si>
    <t>STONE CUTTER-I</t>
  </si>
  <si>
    <t>CARPENTER-II</t>
  </si>
  <si>
    <t>CARPENTER-I</t>
  </si>
  <si>
    <t>FITTER-II</t>
  </si>
  <si>
    <t>Page.No. 10
Sch.Item.No.19</t>
  </si>
  <si>
    <t>FITTER-I</t>
  </si>
  <si>
    <t>PLUMBER-II</t>
  </si>
  <si>
    <t>PLUMBER-I</t>
  </si>
  <si>
    <t>PAINTER-II</t>
  </si>
  <si>
    <t>PAINTER-I</t>
  </si>
  <si>
    <t>MAZDOOR-II</t>
  </si>
  <si>
    <t>MAZDOOR-I</t>
  </si>
  <si>
    <t>MASON-II Brick work</t>
  </si>
  <si>
    <t>MASON-I Brick work</t>
  </si>
  <si>
    <t>Rate</t>
  </si>
  <si>
    <t>Labour Rate</t>
  </si>
  <si>
    <t>Ltr</t>
  </si>
  <si>
    <t>Polished Rajasthan Kota Stone Slabs of 20mm thick
with Machine Cut Edges of size 2'0" x 2'0" and above</t>
  </si>
  <si>
    <t>Polished Rajasthan Kota Stone Slabs of 20mm thick
with Machine Cut Edges of size below 2'0" x 2'0"</t>
  </si>
  <si>
    <t>29.c</t>
  </si>
  <si>
    <t>Sinthetic Grey, Paradise and similar varieties</t>
  </si>
  <si>
    <t>29.b</t>
  </si>
  <si>
    <t>Ruby Red, Raw Silk</t>
  </si>
  <si>
    <t>29.a</t>
  </si>
  <si>
    <t>Jet Black</t>
  </si>
  <si>
    <t>Kgs</t>
  </si>
  <si>
    <t>Colour Cement (White Cement mixed with Colouring
Pigments</t>
  </si>
  <si>
    <t>UPVC Ventilator</t>
  </si>
  <si>
    <t>UPVC Window</t>
  </si>
  <si>
    <t>Casurina Poles 10cm-13cm di</t>
  </si>
  <si>
    <t>Mild Steel Angles 25 x 25 x 3 mm</t>
  </si>
  <si>
    <t>77 i</t>
  </si>
  <si>
    <t>CW Scantling (upto 4m in length)</t>
  </si>
  <si>
    <t>TW Scantlings
(over 2m &amp; below 3m in length) - Malabar</t>
  </si>
  <si>
    <t>TW Scantling (below 2m in length) - Malabar</t>
  </si>
  <si>
    <t>P. No</t>
  </si>
  <si>
    <t>Plinth Beam</t>
  </si>
  <si>
    <t>Grid 2</t>
  </si>
  <si>
    <t>Grid 3</t>
  </si>
  <si>
    <t>Grid 4</t>
  </si>
  <si>
    <t>Grid 5</t>
  </si>
  <si>
    <t>Grid 6</t>
  </si>
  <si>
    <t>Y - axis</t>
  </si>
  <si>
    <t>Grid B</t>
  </si>
  <si>
    <t>Grid E</t>
  </si>
  <si>
    <t>Grid H</t>
  </si>
  <si>
    <t>Total Excavation</t>
  </si>
  <si>
    <t xml:space="preserve">d/t Sand Filling </t>
  </si>
  <si>
    <t>PCC</t>
  </si>
  <si>
    <t>PB</t>
  </si>
  <si>
    <t>Back Filling</t>
  </si>
  <si>
    <t>Carting away excavted earth</t>
  </si>
  <si>
    <t>Roof Beam</t>
  </si>
  <si>
    <t>Roof Slab</t>
  </si>
  <si>
    <t xml:space="preserve">Steps </t>
  </si>
  <si>
    <t xml:space="preserve">Mid landing beam </t>
  </si>
  <si>
    <t xml:space="preserve">Mid landing </t>
  </si>
  <si>
    <t xml:space="preserve">Flight </t>
  </si>
  <si>
    <t>200mm Outer wall</t>
  </si>
  <si>
    <t>as same as Ground Floor Qty</t>
  </si>
  <si>
    <t>Provisional Qty</t>
  </si>
  <si>
    <t>Plane surfaces such as RCC floor slab, roof slab, flat slab, drop panel, beams, lintels, bed blocks, landing slab, waist slab, portico slab / beams and such other members</t>
  </si>
  <si>
    <t xml:space="preserve">Reinforced cement concrete Column footing, plinth / grade beam, bed blocks, template surfaces, steps, piers, pile cap, raft slab / beams, RC Binders and such other members </t>
  </si>
  <si>
    <t>OHT</t>
  </si>
  <si>
    <t>Provisional qty</t>
  </si>
  <si>
    <t>Entrance</t>
  </si>
  <si>
    <t xml:space="preserve">Supply and laying water proofing treatment of internal walls Over head tanks, Water tanks etc.,   covering the following order and  consisting of following operations. </t>
  </si>
  <si>
    <t xml:space="preserve">Supply and laying water proofing treatment on top of PCC laid for Grade slab, Raft, Pile cap ,footing  &amp; beam, UG Sump , Water tank etc., in the following order and  consisting of following operations. </t>
  </si>
  <si>
    <t>Partition Works</t>
  </si>
  <si>
    <t>Beam</t>
  </si>
  <si>
    <t>Slab</t>
  </si>
  <si>
    <t>M.Tone</t>
  </si>
  <si>
    <t>Supply and applying water proofing treatment on Retaining walls external surface at Lift wall, UG Sump, Water tank, Raft sides etc. using cement admixed with  water proofing compound in the following order.</t>
  </si>
  <si>
    <t xml:space="preserve">Supply and laying water proofing treatment Internal surface of Lift wall, water tank etc., in the following order and  consisting of following operations. </t>
  </si>
  <si>
    <t>Total</t>
  </si>
  <si>
    <t>Specification same as above but excluding cost of putty (Wall &amp; Ceiling Painting)</t>
  </si>
  <si>
    <t xml:space="preserve">Manhole Cover 60 x 60cm (Heavy Duty) with Frame (O.H Tanks) </t>
  </si>
  <si>
    <t>Supplying and fixing of 300mm dia NP3 class Hume pipe (153 / 45)</t>
  </si>
  <si>
    <t xml:space="preserve">CIVIL, INTERIOR AND LIFT WORKS </t>
  </si>
  <si>
    <t>Rate as per SoR Page 66 / item no. 266</t>
  </si>
  <si>
    <t>Extra for additional height in centering, shuttering wherever required with adequate bracing, propping etc.  including cost of de-shuttering and decentring at all levels, over a height of 3.30 m (height shall be the dimension as measured from the top of the lower slab / pcc sub base to the bottom of the subsequent upper slab) for every additional height of 1m or part thereof  for plan area to be measured Suspended  floors, flat slabs, drops, post tensioned slabs, slabs curved in plan to any radius, grid slab, roofs, landings, beams including spiral  and curved beams of all radius, post tensioned beams, grid beams, plinth beams, girders,  bressumers, cantilevers and balconies etc. and as complete with all respects complying with relevant standard specification, as directed by the departmental officers.</t>
  </si>
  <si>
    <t>Melamine Polish</t>
  </si>
  <si>
    <t>g</t>
  </si>
  <si>
    <t>Good Earth brought from outside</t>
  </si>
  <si>
    <t>Providing and constructing cement concrete solid block masonry work at all levels in cement mortar 1:5 using standard size of 400 x 200 x 200 mm thick of solid cement concrete blocks of thickness as given below, with minimum compressive strength of 5 N/Sq.mm. conforming to IS 2185 or equivalent BS and Fly ash conforming to IS : 3812 (Part III)-1966* may be used for part replacement of fine aggregate up to a limit of 20 percent. etc. complete and as directed. Rate to include all materials, labour charges, wastages  for working at all levels with necessary lead and lifts, transportation charges, loading, unloading, scaffolding, staging, curing, fuel, consumables as complete with all respects complying with relevant standard specification and as directed by the departmental officers.</t>
  </si>
  <si>
    <t>100sqft x 8/12   = 66.67/35.30  = 1.89 cum</t>
  </si>
  <si>
    <t xml:space="preserve">m3   </t>
  </si>
  <si>
    <t>100 sqft x 4/12   = 33.37/35.30  = 0.944 cum</t>
  </si>
  <si>
    <t>Total for 100 sqft or 9.29 sqm or 1.89 cum</t>
  </si>
  <si>
    <t>Rate per Sqm upto basement level</t>
  </si>
  <si>
    <t>GF</t>
  </si>
  <si>
    <t>Foundation and Plinth / Basement Level</t>
  </si>
  <si>
    <t>vi) Lay protective plaster layer with 12mm thick Cement Mortar 1:4 (1 cement: 4 coarse sand)  admixed with Normal setting integral Waterproofing compound CICO NO.1 or approved equivalent conforming to IS 2645 at the rate of  2% by weight of cement over the third coat of brush topping. Plaster shall be cured by  spraying of water for the next 7days. The entire water proofing system shall be protected with a 25 mm thick extruded polystyrene with necessary low VOC adhesive.</t>
  </si>
  <si>
    <t>Amount in Rs..</t>
  </si>
  <si>
    <t>Sub Total Amount in Rs…….</t>
  </si>
  <si>
    <t>Civil Works - Total Amount in Rs…..</t>
  </si>
  <si>
    <t>Surface preparation of all MS members by Sand blasting to SA 21/2 grade and painted with anti corrosive, PU paint (metallic finish) with compatible primer to a minimum film thickness of 75 microns and 2 coats of PU paint of and total dry film thickness 225 microns. The rate to include the cost of all materials, labour, tools, tackle and plants, wastage etc., as per specification and drawings complete. The rate quoted is to include cost of bolts, nuts, washers, welding, electrodes and connections required for the work. No extra on this account will be paid for. The rate to include preparation of fabrication shop drawings for owner's approval.</t>
  </si>
  <si>
    <t>iii) Sealing &amp;cutting of the nozzles and levelling the surface using integral Waterproofing compound CICO NO.3 or approved equivalent in the ratio 1:1by weight.</t>
  </si>
  <si>
    <t xml:space="preserve">iv)The  wall surface shall be thoroughly cleaned to remove debris and dust, and application of two coats not less than 2 mm thick of  TAPECRETE - RTU Polymer Based Elastomeric Waterproof Coating over  well prepared surface </t>
  </si>
  <si>
    <t>Elec room</t>
  </si>
  <si>
    <t>3rd Floor</t>
  </si>
  <si>
    <t>Grid F</t>
  </si>
  <si>
    <t>Grid D</t>
  </si>
  <si>
    <t>Grid 1</t>
  </si>
  <si>
    <t>Grid C</t>
  </si>
  <si>
    <t>Shear wall</t>
  </si>
  <si>
    <t>Lift Wall / Shear wall</t>
  </si>
  <si>
    <t>Third Floor</t>
  </si>
  <si>
    <t>as same as 1st Floor Qty</t>
  </si>
  <si>
    <t>as same as 2nd Floor Qty</t>
  </si>
  <si>
    <t xml:space="preserve">GF </t>
  </si>
  <si>
    <t>Terrace landing</t>
  </si>
  <si>
    <t>Ground to Terrace Floor</t>
  </si>
  <si>
    <t xml:space="preserve">Rate to include backfilling, levelling, dressing of sides and ramming of bottom with all leads, lifts and filling  inside the building plinth level including necessary compaction in layers of 150mm thick each complete as directed and dressing to proper level and graded as required etc, loading, unloading, plant and machinery, hire and fuel charges for tools and plants, shoring, strutting required to keep the earth in position and baling out water, dewatering of all ground, surface and rain water, removal of slurry generated while excavation and keeping the area free from water, removal of loose pockets, slips and falls during excavation and compacting the same, Slinging or supporting pipes, electric cables, royalties, Seignorage and taking statutory approvals as necessary to carry out the work as complete with all respects complying with relevant standard specification, as directed by the departmental officers.
</t>
  </si>
  <si>
    <t>Supply and laying of respective water proofing treatment at below mentioned locations including all below activities.
The surface to be waterproofed shall be cleaned to ensure it is free of laitance, loose particles, oily substance which may affect the adhesion of the waterproofing system, using mechanical rotary wire brush and related tools etc. Rate including all materials, labour charges, wastages with necessary lead and lifts, working at all levels, transportation charges, loading, unloading, preparation of surface, necessary hacking in RCC surface, scaffolding, staging, tools and plants, fuel, curing,  cleaning, testing, consumables and also include for conducting leakage test at toilet sunken portion and over head tanks by storing water on the sunken continuously for a period of 7 days etc. as complete with all respects complying with relevant standard specification and as directed by the departmental officers.</t>
  </si>
  <si>
    <t>For 5 mm tk plates 45.3 kg /sqm and corresponding painting area both sides 2.25 sqm and so painting area reqd per kg = 2.1 sqm / 45.30kg =</t>
  </si>
  <si>
    <t>Petty iron work for truss, straps etc (labour only) P29/O-1</t>
  </si>
  <si>
    <t>Iron works for trusess and record racks (labour only) P29/O-2</t>
  </si>
  <si>
    <t>Amount in 
(in Rs.)</t>
  </si>
  <si>
    <t>CIVIL - Data</t>
  </si>
  <si>
    <t>Providing  and  fixing welded M.S. grills for the window openings and any openings as per drawing  with   necessary screws, bolts and  fixed with  necessary  M.S. lugs embedded in masonry with C.C. 1:2:4 and finishing the surface neatly. Rate shall include for  two   coats   of  first  quality  synthetic   enamel paint  over  a coat of  zinc phosphate primer, necessary tools &amp; plants, welding and consumables, etc. complete, as directed. Design of grills and the size of members to be used shall be got approval before put into use &amp; as directed by the departmental officers.</t>
  </si>
  <si>
    <t>Supply and fixing wall dado with best quality approved make White Glossy ceramic tiles sizes 300 x 300 mm x 6 mm thick set in  CM 1:3 (1 of Cement : 3 of sand) 10mm thick and   pointing with white cement and as directed.  Rate shall include for preparation of base surface, and finishing the surface, cleaning the surface, work at  all levels etc. as complete and as directed by the departmental officers (For Over Head Tanks &amp; U.G.Sump)   
Rate including all materials, labour charges, wastages, necessary lead and lifts, working at all levels, transportation charges, loading, unloading, preparation of surface, necessary hacking in RCC surface, cutting of tiles to required shape, edging, tools and plants, fuel, curing,  cleaning, acid wash over finished surface, protection with Gypsum / Pop  layer  removing the same before handing over as complete with all respects complying with relevant standard specification and as directed by the departmental officers.</t>
  </si>
  <si>
    <t xml:space="preserve">Supplying and filling 40 mm and down aggregate filling under drains. Rate to include shuttering, including all materials, labour charges, transportation, lead &amp; Lifts, curing, with necessary excavation and back filling complete etc. as complete with all respects complying with relevant standard specification, as directed by the departmental officers. </t>
  </si>
  <si>
    <t>30kg/sqm</t>
  </si>
  <si>
    <t>PB5</t>
  </si>
  <si>
    <t>PB1</t>
  </si>
  <si>
    <t>Grid J</t>
  </si>
  <si>
    <t>Grid K</t>
  </si>
  <si>
    <t>Grid L</t>
  </si>
  <si>
    <t>Grid M</t>
  </si>
  <si>
    <t xml:space="preserve">DETAILED ESTIMATE </t>
  </si>
  <si>
    <t>Grid N</t>
  </si>
  <si>
    <t>h</t>
  </si>
  <si>
    <t>W1</t>
  </si>
  <si>
    <t>V1</t>
  </si>
  <si>
    <t>Lift open</t>
  </si>
  <si>
    <t>V2</t>
  </si>
  <si>
    <t>Grid A</t>
  </si>
  <si>
    <t>Kitchen</t>
  </si>
  <si>
    <t>D3</t>
  </si>
  <si>
    <t>W2</t>
  </si>
  <si>
    <t>W3</t>
  </si>
  <si>
    <t>as same as First Floor qty</t>
  </si>
  <si>
    <t>as same as Second Floor qty</t>
  </si>
  <si>
    <t>MD</t>
  </si>
  <si>
    <t xml:space="preserve">Trerrace </t>
  </si>
  <si>
    <t>Sick room</t>
  </si>
  <si>
    <t>Phy.challanged room</t>
  </si>
  <si>
    <t>Staircase - 1</t>
  </si>
  <si>
    <t>Staircase - 2</t>
  </si>
  <si>
    <t>Mid landing</t>
  </si>
  <si>
    <t>Staircase 1</t>
  </si>
  <si>
    <t>Staircase 2</t>
  </si>
  <si>
    <t>Outside</t>
  </si>
  <si>
    <t>Lift headroom</t>
  </si>
  <si>
    <t>Staircase headroom</t>
  </si>
  <si>
    <t>Manufacturing, Supplying and Fixing of Stainless Steel Handrails for staircase using 50mm dia 304L Grade Stainless Steel pipe of 1.60mm thick at required locations to a height of 900mm from finished floor level welded to 38mm dia Stainless Steel pipe post of 1.00mm thick as vertical at 900mm centre with 2 Nos. of 25mm dia intermediate horizontal stainless steel pipe of 1.60mm thick in between.
The vertical pipe has to be welded to the 100 X 100 X 6mm MS base plate encased in the base concrete. The rate is inclusive of the charges for cutting, bending, welding, grinding, polishing, conveyance, electrical charges, etc. complete</t>
  </si>
  <si>
    <t>Rate as per SoR Page 57 / item no. 248</t>
  </si>
  <si>
    <t>Wall Handrail
Manufacturing, Supplying and Fixing of Stainless Steel Handrails for staircase near wet riser using 50mm dia 304L Grade Stainless Steel pipe of 1.60mm thick will be provided with tubular supports made of 304L Grade Stainless Steel pipe of 25mm dia of 1.60mm thick welded to the railing. The supports will be grouted into the wall and provided with 93.00mm thick Stainless Steel circular base plate of 304 Grade. The rate shall included for grouting into concrete with necessary supporting arrangements the hand rail in floor polishing buffing, bonding, cutting, grinding, conveyance, welding charges, electrical charges, etc. complete</t>
  </si>
  <si>
    <t>Rate as per SoR Page 57 / item no. 249</t>
  </si>
  <si>
    <t>Ramp</t>
  </si>
  <si>
    <t>Terrace floor</t>
  </si>
  <si>
    <t>Floor</t>
  </si>
  <si>
    <t>Slab Projection</t>
  </si>
  <si>
    <t>Roof landing</t>
  </si>
  <si>
    <t>200mm Inner wall</t>
  </si>
  <si>
    <t>100mm Inner wall</t>
  </si>
  <si>
    <t>Doors D1</t>
  </si>
  <si>
    <t>Staircase 01</t>
  </si>
  <si>
    <t>Staircase 02</t>
  </si>
  <si>
    <t>X axis</t>
  </si>
  <si>
    <t>Y axis</t>
  </si>
  <si>
    <t>Counter slab</t>
  </si>
  <si>
    <t>Wall at ramp</t>
  </si>
  <si>
    <t>Wall at entrance</t>
  </si>
  <si>
    <t>Wall at Staircase</t>
  </si>
  <si>
    <t>Lobby Entrance</t>
  </si>
  <si>
    <t>ST-1 &amp; lift head room</t>
  </si>
  <si>
    <t xml:space="preserve">Staircase Head Room </t>
  </si>
  <si>
    <t>Lift (Base)</t>
  </si>
  <si>
    <t>Lift (Top)</t>
  </si>
  <si>
    <t xml:space="preserve">Beam </t>
  </si>
  <si>
    <t xml:space="preserve">ST-2 </t>
  </si>
  <si>
    <t>Column up to parapet Lvl</t>
  </si>
  <si>
    <t>below GFL</t>
  </si>
  <si>
    <t>Staircase / ramp</t>
  </si>
  <si>
    <t>Ramp slab</t>
  </si>
  <si>
    <t>Staircase to lift machine room</t>
  </si>
  <si>
    <t>Slab projection</t>
  </si>
  <si>
    <t>Footing /raft</t>
  </si>
  <si>
    <t>Grand Total</t>
  </si>
  <si>
    <t>Pit (Inside)</t>
  </si>
  <si>
    <t>OHT only</t>
  </si>
  <si>
    <t xml:space="preserve">OHT </t>
  </si>
  <si>
    <t>Lift machine room</t>
  </si>
  <si>
    <t>Stair 1 &amp; 2</t>
  </si>
  <si>
    <t>Ceiling</t>
  </si>
  <si>
    <t>Stair at Lift Machine room</t>
  </si>
  <si>
    <t>GF to machine room</t>
  </si>
  <si>
    <t>ST-1 &amp; lift machine</t>
  </si>
  <si>
    <t>ST-2</t>
  </si>
  <si>
    <t xml:space="preserve">W1 </t>
  </si>
  <si>
    <t>Footing</t>
  </si>
  <si>
    <t>F1</t>
  </si>
  <si>
    <t>F2</t>
  </si>
  <si>
    <t>F3</t>
  </si>
  <si>
    <t>F4</t>
  </si>
  <si>
    <t>F5</t>
  </si>
  <si>
    <t>F7</t>
  </si>
  <si>
    <t>F9</t>
  </si>
  <si>
    <t>CF1</t>
  </si>
  <si>
    <t>CF2</t>
  </si>
  <si>
    <t>CF3</t>
  </si>
  <si>
    <t>Earthwork Excavation &amp; Backfilling</t>
  </si>
  <si>
    <t>Concrete Below GL</t>
  </si>
  <si>
    <t>Coff</t>
  </si>
  <si>
    <t>a) Fixing the panels at all levels and supported on slab soffit with suitable arrangement including necessary staging, scaffolding arrangement, alignment and 	verticality (plumb level) of the walls. Rate Shall also include cutting necessary 	grooves / chases of required size and at required height for concealing electrical, 	plumbing, conduits / pipes, holdfasts, bolts etc. and making good surfaces after 	concealing work is complete.</t>
  </si>
  <si>
    <t>b) Grouting of cores in blocks to complete course for fixing of frames and all joinery 	works etc. complete, as directed. All materials required to carry out all related works I	including specialized work required around and above opening to receive the Frame 	and to ensure that the load of the panels are not transferred on to the frames or 	shutters of the doors, windows and ventilators so as to avoid bending of door 	frames/shutters and affecting the opening / closing operation of the door shutter. etc. 	complete and as directed.</t>
  </si>
  <si>
    <t>c) Finished work should be sand papered to receive plaster and any unevenness or 	undulations on the block should be made good by the application putty.</t>
  </si>
  <si>
    <t>d) If required to do so the test at an approved laboratory to ensure the compression 	strength of blocks confirming to IS standards.</t>
  </si>
  <si>
    <t>Rate shall include accessories for supporting the system into the ceiling with cleats &amp; Anchor fasteners, scaffolding, loading and unloading, lead &amp; Lift, Tools &amp; Plants etc. Complete and as directed.</t>
  </si>
  <si>
    <t>M SAND FOR MORTAR</t>
  </si>
  <si>
    <t>M SAND FOR FILLING</t>
  </si>
  <si>
    <t xml:space="preserve">Page.No. 17 / Sch.Item.No.58C &amp; P.no. 32 (Annex-V lead charges ) </t>
  </si>
  <si>
    <t>GST - 18%</t>
  </si>
  <si>
    <t>0-10km</t>
  </si>
  <si>
    <t>10-20km</t>
  </si>
  <si>
    <t>BASED ON  Proc No. HDO (A) / 18064 / 2022-2, Dated 19.07.2022</t>
  </si>
  <si>
    <t>Conveyance Charges</t>
  </si>
  <si>
    <t>Slno</t>
  </si>
  <si>
    <t>Rate in SOR 1m3</t>
  </si>
  <si>
    <t>Rough Stone, Bond Stone, Cut Stone, Broken Stone Jelly, Sand, Gravel, Surki, Earth, Crushed Stone sand 
(One cubic metre)</t>
  </si>
  <si>
    <t>Distance</t>
  </si>
  <si>
    <t>Cement / steel (1 MT)</t>
  </si>
  <si>
    <t>Page.No. 11 Sch.Item.No.37A</t>
  </si>
  <si>
    <t>Material  / Machineries Rate</t>
  </si>
  <si>
    <t>Pumping charges of concrete including hire charges of
pump, piping work and accessories etc.</t>
  </si>
  <si>
    <t>SL.No: 1</t>
  </si>
  <si>
    <t>Concrete works for every addl floor beyond GF lvl</t>
  </si>
  <si>
    <t>Concrete works upto 4,5 m from Plinth (i.e) GF lvl</t>
  </si>
  <si>
    <t>FOUNDATION &amp; BASEMENT upto a depth of 2.0 m from NGL/ FGL.  Rate per cum</t>
  </si>
  <si>
    <t xml:space="preserve">Binding wire </t>
  </si>
  <si>
    <t>Binding Wire (Black 1B G)</t>
  </si>
  <si>
    <t>113 a</t>
  </si>
  <si>
    <t>Page.No. 9
Sch.Item.No.20</t>
  </si>
  <si>
    <t>II</t>
  </si>
  <si>
    <t>III</t>
  </si>
  <si>
    <t xml:space="preserve"> Cum</t>
  </si>
  <si>
    <t>Page.No. 10 Sch.Item.No.37</t>
  </si>
  <si>
    <t>AAC Block Wall</t>
  </si>
  <si>
    <t>600mm x 200mm x 100mm thk</t>
  </si>
  <si>
    <t>600mm x 200mm x 150mm thk</t>
  </si>
  <si>
    <t>600mm x 200mm x 200mm thk</t>
  </si>
  <si>
    <t>Sl.no 273 (a)</t>
  </si>
  <si>
    <t>Sl.no 273 (b)</t>
  </si>
  <si>
    <t>Sl.no 273 (c)</t>
  </si>
  <si>
    <t>Cost of MS sheet of size 90cm x 60cm x3.175mm (P 20 / 111)</t>
  </si>
  <si>
    <t>Cost of MS angle of size 25mm x 25mm x 3mm (P 20 / 111)</t>
  </si>
  <si>
    <t>77 D</t>
  </si>
  <si>
    <t>90 b</t>
  </si>
  <si>
    <t>Page.No. 9
Sch.Item.No.11</t>
  </si>
  <si>
    <t>Page.No. 11
Sch.Item.No.19A</t>
  </si>
  <si>
    <t xml:space="preserve"> Sqm</t>
  </si>
  <si>
    <t>Stainless Steel Hand
rails for staircase using 50mm dia 304L Grade</t>
  </si>
  <si>
    <t>Supplying and Fixing of Stainless Steel Hand
rails for staircase near wet riser using 50mm dia 304L Grade</t>
  </si>
  <si>
    <r>
      <t xml:space="preserve">Providing and applying </t>
    </r>
    <r>
      <rPr>
        <b/>
        <sz val="14"/>
        <color theme="1"/>
        <rFont val="Verdana"/>
        <family val="2"/>
      </rPr>
      <t>6mm thick Polyurethane Flooring,</t>
    </r>
    <r>
      <rPr>
        <sz val="14"/>
        <color theme="1"/>
        <rFont val="Verdana"/>
        <family val="2"/>
      </rPr>
      <t xml:space="preserve"> seamless, solvent-free, moisture insensitive and anti-microbial polyurethane concrete flooring system, matching below mentioned performance properties:</t>
    </r>
  </si>
  <si>
    <t>FIRE RESISTANCE - Surface spread of flames : Class 2.</t>
  </si>
  <si>
    <t>THERMAL RESISTANCE - Tolerant up to 100  ̊C intermittent spillages or constant 90  ̊C  dry heat at 5 mm thickness</t>
  </si>
  <si>
    <t>ABRASION RESISTANCE: 25mg loss per 1000Cycles</t>
  </si>
  <si>
    <t xml:space="preserve">COMPRESSIVE STRENGTH: &gt;50 N/mm </t>
  </si>
  <si>
    <t xml:space="preserve">FLEXURAL STRENGTH: &gt;20N/mm </t>
  </si>
  <si>
    <t xml:space="preserve">TENSILE STRENGTH: &gt;10N/mm </t>
  </si>
  <si>
    <t>SURFACE PREPARATION :- The substrate concrete surface must have compressive strength of 25Mpa and should be more than 14 days old and the surface should be dry, moisture content below 75% RH in the substrate. Surface laitance must be removed by mechanical action. Locking chases/termination grooves shall be provided in the substrate.</t>
  </si>
  <si>
    <t xml:space="preserve">Priming/Scratch coat shall be applied using Flowfresh RT by trowel or with a rake with appropriate depth gauges. Filler (aggregate scatter) shall be applied over Scratch coat. </t>
  </si>
  <si>
    <t xml:space="preserve">Top Coat to be applied using  hand trowel to level screed lines and create an even surface. </t>
  </si>
  <si>
    <t>The rate shall include  all cuttings, wastages, cost of all materials adhesives, cleaning the surface, making dust free, including all the materials and labour mentioned above for complete finished work. Only laid area will be measured for payment.</t>
  </si>
  <si>
    <t xml:space="preserve"> Rmt</t>
  </si>
  <si>
    <t>Jet Black Granite slabs of 18mm Tk ( Page.No.36 / SR.Item.No 29A )</t>
  </si>
  <si>
    <t>Page.No. 10
Sch.Item.No.56</t>
  </si>
  <si>
    <t>Cost of Granite slab ( SR Item no.29(b) Page no.36)</t>
  </si>
  <si>
    <t>Page.No. 10 Sch.Item.No.44</t>
  </si>
  <si>
    <t>Page.No. 11 Sch.Item.No.44A</t>
  </si>
  <si>
    <t>Exterior Emulsion Paint</t>
  </si>
  <si>
    <t>Painting the wall with Texture Finish Paint including
labour charges</t>
  </si>
  <si>
    <t>Rate as per SR page 55 / item no.223</t>
  </si>
  <si>
    <t>Main ‘T’ runners to be suspended from ceiling using G.I. slotted cleats of size 25x35x1.6 mm fixed to ceiling with 12.5 mm dia and 50 mm long dash fasteners, 4 mm G.I. adjustable rods with galvanised steel level clips of size 85 x 30 x 0.8 mm, spaced at 1200 mm centre to centre along main ‘T’, bottom exposed with 24 mm of all Tsections shall be pre-painted with polyster baked paint, for all heights, as per specifications, drawings and as directed by Engineer-in-Charge.</t>
  </si>
  <si>
    <t>Note :- Only calcium silicate false ceiling area will be measured from wall to wall. No deduction shall be made for exposed frames/ opening (cut outs) having area less than 0.30 sqm.The calcium silicate ceiling tile shall have NRC value of 0.50 (Minimum), light reflection &gt; 85%, non- combustible as per B.S. 476 part IV, 100% humidity resistance and also having thermal conductivity &lt;0.043 w/ mK.</t>
  </si>
  <si>
    <t>resting on periphery walls /partitions on a Perimeter wall angle pre-coated steel of size(24x24X3000 mm made of 0.40 mm thick (minimum) sheet with the help of rawl plugs at 450 mm centre to centre with 25 mm long dry wall screws @ 230 mm interval and laying 15 mm thick densified edges calicum silicate ceiling tiles of approved texture in the grid, including, cutting/ making opening for services like diffusers, grills, light fittings, fixtures, smoke detectors etc., wherever required.</t>
  </si>
  <si>
    <t>PASSENGER LIFTS (G+3)
SS 304 Grade with 1m/sec. speed with ARD</t>
  </si>
  <si>
    <t>Further increase of rate per floor for every additional floor Rs.1,00,000/- per floor. Comprehensive servicing and maintenance of lifts for further period of 2 years beyond free warranty period of one year from the date of commissioning of lifts will be paid at the rate of 5% of capital cost of lift.</t>
  </si>
  <si>
    <t>Each floor</t>
  </si>
  <si>
    <t>Ground floor (Toilet)</t>
  </si>
  <si>
    <t>Rate as per SR page 146 / item no.11 C (b)</t>
  </si>
  <si>
    <t>13 Persons Passenger Lift Car Size (2000 x 1100) Gearless Lift without Machine Room</t>
  </si>
  <si>
    <t xml:space="preserve">Rate as per SR page 146 / item no.11 D </t>
  </si>
  <si>
    <t>Passenger lift</t>
  </si>
  <si>
    <t>Manhole Cover 60 x 60cm (Heavy Duty) with Frame</t>
  </si>
  <si>
    <t>as per SOR 238 / P.No 55</t>
  </si>
  <si>
    <t>300mm dia RCC Hume Pipe</t>
  </si>
  <si>
    <t>Page.No. 10 Sch.Item.No.47</t>
  </si>
  <si>
    <t>PVC mould CI Steps for Sump</t>
  </si>
  <si>
    <t>SR Item 250.Page.no 57 cost of material</t>
  </si>
  <si>
    <t>Cost of structural steel P20 / item 111</t>
  </si>
  <si>
    <t>Mild Steel Plates or Sheets BG 10</t>
  </si>
  <si>
    <t xml:space="preserve">Cost of chequered plate including 3% wastage Page.No. 20 / SR No 111  </t>
  </si>
  <si>
    <t>Iron works for trusess and record racks (labour only)</t>
  </si>
  <si>
    <t>Page.No. 29 /O 2</t>
  </si>
  <si>
    <t>Page.No. 29 /O 1</t>
  </si>
  <si>
    <t xml:space="preserve"> Kgs</t>
  </si>
  <si>
    <t>Rate as per SOR 205 / P.No 51</t>
  </si>
  <si>
    <t>Special Type Mirror of size 1000 x 780mm</t>
  </si>
  <si>
    <t>100 sqft x 6/12   = 50/35.30  = 1.42 cum</t>
  </si>
  <si>
    <t xml:space="preserve">150mm thick wall </t>
  </si>
  <si>
    <t xml:space="preserve">100mm thick wall </t>
  </si>
  <si>
    <t xml:space="preserve">200mm thick wall </t>
  </si>
  <si>
    <t>Using 600 x 200 x 200mm</t>
  </si>
  <si>
    <t>Using 600 x 100 x 200mm</t>
  </si>
  <si>
    <t>Brick II class chamber burnt bricks (Table moulded / ground moulded), Fly ash Brick)</t>
  </si>
  <si>
    <t>9" x 41/2" x 3" Bricks</t>
  </si>
  <si>
    <t>Steel</t>
  </si>
  <si>
    <t>Rate for additional lift (Page No 23 / Sch item no.77)</t>
  </si>
  <si>
    <t>Earthwork Excavation in SS20B (Page No 22 / Sch item no.62)</t>
  </si>
  <si>
    <t>S.No.</t>
  </si>
  <si>
    <t xml:space="preserve"> Photo</t>
  </si>
  <si>
    <t>Rate in INR</t>
  </si>
  <si>
    <t>Amount in INR</t>
  </si>
  <si>
    <t>A</t>
  </si>
  <si>
    <t>Total Amount</t>
  </si>
  <si>
    <t>PACKING &amp; FORWARDING</t>
  </si>
  <si>
    <t>GRAND TOTAL (Excluding GST)</t>
  </si>
  <si>
    <t>Refer ANNEXURE - 01</t>
  </si>
  <si>
    <t>Refer ANNEXURE - 02</t>
  </si>
  <si>
    <t>SUMMARY - CIVIL &amp; INTERIOR WORKS</t>
  </si>
  <si>
    <t>Bill of Quantities for Loose Furniture and Chairs</t>
  </si>
  <si>
    <t>Modular Furniture</t>
  </si>
  <si>
    <t>Bill of Quantities for Modular Furniture</t>
  </si>
  <si>
    <t>ALUMINIUM GLAZED STILE DOOR WITH ALTERRALITE SYSTEM-100 FRAME PROFILES</t>
  </si>
  <si>
    <t>SINGLE GLAZED TOUGHENED GLASS 
PARTITIONS - WITH ALTERRALITE SYSTEM-
100 FRAME PROFILES</t>
  </si>
  <si>
    <t>L (1)</t>
  </si>
  <si>
    <t>Rate as per Quotation (Refer ANNEXURE - 05)</t>
  </si>
  <si>
    <t xml:space="preserve">i) Supply and applying  of one coat of TAPECRETE Acrylic Polymer Cementitious Coating over rendered PCC surface. Application of CORCHEM 206 – I High Build Polyurethane Based Elastomeric Coating to the thickness of 1.5 mm in two coats over TAPECRETE applied surface. </t>
  </si>
  <si>
    <t>Wall</t>
  </si>
  <si>
    <t>Ground Floor to Terrace</t>
  </si>
  <si>
    <t>Page.No. 11
Sch.Item.No.12</t>
  </si>
  <si>
    <t>Solid block of size 400 x 200 x 200 mm</t>
  </si>
  <si>
    <t>Solid block of size 400 x 100 x 200 mm</t>
  </si>
  <si>
    <t>UG Sump</t>
  </si>
  <si>
    <t>DG room</t>
  </si>
  <si>
    <t xml:space="preserve">Sump </t>
  </si>
  <si>
    <t>List of Approved Makes - Civil and Interior Works</t>
  </si>
  <si>
    <t>Approved Makes</t>
  </si>
  <si>
    <t>Civil and Masonry</t>
  </si>
  <si>
    <t>Grey Cement</t>
  </si>
  <si>
    <t>AAC Blocks</t>
  </si>
  <si>
    <t xml:space="preserve">Solid Block </t>
  </si>
  <si>
    <t>Bricks</t>
  </si>
  <si>
    <t>Gypsum plaster</t>
  </si>
  <si>
    <t>Steel for Reinforcement (Primary)</t>
  </si>
  <si>
    <t>Steel for Reinforcement (Secondary)</t>
  </si>
  <si>
    <t>Structural Steel Sections</t>
  </si>
  <si>
    <t>Anti Termite Treatment</t>
  </si>
  <si>
    <t>Flooring Works</t>
  </si>
  <si>
    <t>Nano slab</t>
  </si>
  <si>
    <t>Vitrified tiles (Floor &amp; Wall)</t>
  </si>
  <si>
    <t>Ceramic tiles (Floor &amp; Wall)</t>
  </si>
  <si>
    <t>Adhesives</t>
  </si>
  <si>
    <t>Tile Grout</t>
  </si>
  <si>
    <t>Access floor systems</t>
  </si>
  <si>
    <t>Modular carpets</t>
  </si>
  <si>
    <t>Epoxy / PU Flooring</t>
  </si>
  <si>
    <t>Epoxy Terrazzo</t>
  </si>
  <si>
    <t>Self Leveling Compound</t>
  </si>
  <si>
    <t>False Ceiling</t>
  </si>
  <si>
    <t>Gypsum Board</t>
  </si>
  <si>
    <t>Sections and Frames for Gyp ceiling</t>
  </si>
  <si>
    <t>Mineral Fibre Grid Ceiling</t>
  </si>
  <si>
    <t>Aluminium Perforated metal ceiling</t>
  </si>
  <si>
    <t>Baffle Ceiling</t>
  </si>
  <si>
    <t>Click-Trap Access Panel</t>
  </si>
  <si>
    <t>Calcium Silicate False ceiling</t>
  </si>
  <si>
    <t>Partition Boards and Finishes</t>
  </si>
  <si>
    <t>GI Sections for Partitions</t>
  </si>
  <si>
    <t>Aluminium Sections for Partitions</t>
  </si>
  <si>
    <t>MM Mineral fibre insulation</t>
  </si>
  <si>
    <t>Gypsum Board / MR Gypsum Board</t>
  </si>
  <si>
    <t>Laminates</t>
  </si>
  <si>
    <t>Veneer</t>
  </si>
  <si>
    <t xml:space="preserve">Ply / BWR ply </t>
  </si>
  <si>
    <t>Fire Rated Partitions</t>
  </si>
  <si>
    <t>Lacquered / Magnetic lacquered Glass</t>
  </si>
  <si>
    <t>Acoustic panels - Suspended</t>
  </si>
  <si>
    <t>Writing Board</t>
  </si>
  <si>
    <t>Acoustic Panels for Soft boards</t>
  </si>
  <si>
    <t>Vinly Wall paper</t>
  </si>
  <si>
    <t>Modular Glass Partitions</t>
  </si>
  <si>
    <t>Trims and Profiles</t>
  </si>
  <si>
    <t>Acrylic Solid surfaces</t>
  </si>
  <si>
    <t>Soft board</t>
  </si>
  <si>
    <t xml:space="preserve">Fabrics </t>
  </si>
  <si>
    <t>Toughened glass</t>
  </si>
  <si>
    <t>Glass Processing</t>
  </si>
  <si>
    <t>Fire rated Glazed Partitions - system</t>
  </si>
  <si>
    <t>Fire rated Glass</t>
  </si>
  <si>
    <t>Joinery</t>
  </si>
  <si>
    <t>Metal Fire Doors</t>
  </si>
  <si>
    <t>Fire Door Hardware</t>
  </si>
  <si>
    <t>Flush Door</t>
  </si>
  <si>
    <t>Flush Door Hardware</t>
  </si>
  <si>
    <t>Automatic Sliding Door</t>
  </si>
  <si>
    <t>Glass Door Hardware</t>
  </si>
  <si>
    <t>Anchor bolts and screws</t>
  </si>
  <si>
    <t>Vision panel fire rated glass</t>
  </si>
  <si>
    <t>Door seals</t>
  </si>
  <si>
    <t>Fire resisting Polyurethane foam</t>
  </si>
  <si>
    <t>Fire Sealant</t>
  </si>
  <si>
    <t>Stile Glass Door</t>
  </si>
  <si>
    <t>Glass Door</t>
  </si>
  <si>
    <t>Hardware for Storage</t>
  </si>
  <si>
    <t>UPVC window</t>
  </si>
  <si>
    <t>Painting</t>
  </si>
  <si>
    <t>POP</t>
  </si>
  <si>
    <t>Acrylic emulsion</t>
  </si>
  <si>
    <t>Internal Texture Paint</t>
  </si>
  <si>
    <t>Acrylic distemper</t>
  </si>
  <si>
    <t>Putty</t>
  </si>
  <si>
    <t>External Texture</t>
  </si>
  <si>
    <t xml:space="preserve">Toilet </t>
  </si>
  <si>
    <t>Water Proofing</t>
  </si>
  <si>
    <t>Sanitary fittings</t>
  </si>
  <si>
    <t>Miscellaneous</t>
  </si>
  <si>
    <t>Barrier matting</t>
  </si>
  <si>
    <t>Vinyl Frosted films / Graphics Wallpaper</t>
  </si>
  <si>
    <t>Transition trims  for walls &amp; Floors</t>
  </si>
  <si>
    <t>Blinds / Blockout Blinds</t>
  </si>
  <si>
    <t>Interlocking Paver blocks</t>
  </si>
  <si>
    <t>Polished Concrete floor</t>
  </si>
  <si>
    <t>Exterior Emulsion Paint - Water Based Primer (Liquid)</t>
  </si>
  <si>
    <t>Painter II class</t>
  </si>
  <si>
    <r>
      <t xml:space="preserve">Providing and fixing of  well seasoned, best available </t>
    </r>
    <r>
      <rPr>
        <b/>
        <sz val="14"/>
        <color theme="1"/>
        <rFont val="Verdana"/>
        <family val="2"/>
      </rPr>
      <t>teak wood frame</t>
    </r>
    <r>
      <rPr>
        <sz val="14"/>
        <color theme="1"/>
        <rFont val="Verdana"/>
        <family val="2"/>
      </rPr>
      <t xml:space="preserve"> for doors, windows, ventilators and any other similar joinery works of approved size and as per drawing detail. All exposed wooden surfaces are duly polished with melamine polish of required level. The rate shall be inclusive of making necessary design as per drawing, in the frame and necessary hold fastener and hardware ect, The rate shall be inclusive of supply and fixing of 6 nos MS flat iron holdfast for each door of size 40mmx3mm and 40CM long fixing with CC 1:2:4 and 75mm long 10mm dia anchor fastener to RCC location where ever required. Finishes shall made at Factory only installation at site as complete with all respects complying with relevant standard specification, as directed by the departmental officers. </t>
    </r>
  </si>
  <si>
    <r>
      <rPr>
        <b/>
        <sz val="14"/>
        <color theme="1"/>
        <rFont val="Verdana"/>
        <family val="2"/>
      </rPr>
      <t>UPVC Ventilator</t>
    </r>
    <r>
      <rPr>
        <sz val="14"/>
        <color theme="1"/>
        <rFont val="Verdana"/>
        <family val="2"/>
      </rPr>
      <t xml:space="preserve">
Specification:
Supplying and fixing UPVC (Un-Plasticized Polyvinyl Chloride) Louvered Ventilators of from the profile the size of outer frame 60mm x 58mm and shutter profile size of 60 x 78mm both profiles are reinforced with GI/1mm 125GSM and 100% corrosion free, the profile are multi chambered sections with wall thick of 2mm. The EPDM rubber (black colour) covered with all over the edges of frame and shutter.
The corners and joints should be welded and cleaned.
Radiations pin headed glass 4mm thick should be provided in the louvers. The window should be fixed to the wall with 100% packing with screws and silicon packing all round the frames. The ventilator should be got approved from the Executive Engineer before use on work</t>
    </r>
  </si>
  <si>
    <r>
      <t xml:space="preserve">Supply and application of </t>
    </r>
    <r>
      <rPr>
        <b/>
        <sz val="14"/>
        <color theme="1"/>
        <rFont val="Verdana"/>
        <family val="2"/>
      </rPr>
      <t>epoxy flooring at 3 mm thickness</t>
    </r>
    <r>
      <rPr>
        <sz val="14"/>
        <color theme="1"/>
        <rFont val="Verdana"/>
        <family val="2"/>
      </rPr>
      <t xml:space="preserve"> with epoxy underlay screed using of approved make at 2 mm thick over a priming layer of prime 25. Overlay the topping using approved make Epoxy of 1 mm thick for the designated working area after the complete surface preparation. System contains the properties like : Compressive strength (BS 6319)  : 50 N/mm² @7 days, Flexural strength (BS 6319)  : 26 N/mm² @7 days , Tensile strength (BS 6319)   : 12 N/mm² @7 days, the quoted rates includes complete surface preparation tools material and labor etc; complete as per the Manufacturers specification and direction of Engineer incharge. The application shall be done by Manufacturers approved applicators.</t>
    </r>
  </si>
  <si>
    <r>
      <t xml:space="preserve">Providing and fixing of </t>
    </r>
    <r>
      <rPr>
        <b/>
        <sz val="14"/>
        <color theme="1"/>
        <rFont val="Verdana"/>
        <family val="2"/>
      </rPr>
      <t>75mm height</t>
    </r>
    <r>
      <rPr>
        <sz val="14"/>
        <color theme="1"/>
        <rFont val="Verdana"/>
        <family val="2"/>
      </rPr>
      <t xml:space="preserve"> </t>
    </r>
    <r>
      <rPr>
        <b/>
        <sz val="14"/>
        <color theme="1"/>
        <rFont val="Verdana"/>
        <family val="2"/>
      </rPr>
      <t>Anodized Aluminum</t>
    </r>
    <r>
      <rPr>
        <sz val="14"/>
        <color theme="1"/>
        <rFont val="Verdana"/>
        <family val="2"/>
      </rPr>
      <t xml:space="preserve"> S</t>
    </r>
    <r>
      <rPr>
        <b/>
        <sz val="14"/>
        <color theme="1"/>
        <rFont val="Verdana"/>
        <family val="2"/>
      </rPr>
      <t>kirting</t>
    </r>
    <r>
      <rPr>
        <sz val="14"/>
        <color theme="1"/>
        <rFont val="Verdana"/>
        <family val="2"/>
      </rPr>
      <t xml:space="preserve"> over partition, columns and walls with all accessories. The screws anchored should be recessed and covered with gaskets. Rate should include Covers at corners &amp; ends, screws, wall chipping, plastering, punning., complete at all levels and heights and as directed by Engineer-in- Charge.
</t>
    </r>
  </si>
  <si>
    <r>
      <t xml:space="preserve">Providing and applying three coats of </t>
    </r>
    <r>
      <rPr>
        <b/>
        <sz val="14"/>
        <color theme="1"/>
        <rFont val="Verdana"/>
        <family val="2"/>
      </rPr>
      <t>Acrylic emulsion paint</t>
    </r>
    <r>
      <rPr>
        <sz val="14"/>
        <color theme="1"/>
        <rFont val="Verdana"/>
        <family val="2"/>
      </rPr>
      <t>, with low VOC as per GS-11, anti fungal and washable of approved colour over a coat of water based primer including preparation of surface by thorough cleaning and applying two coats of premixed putty as per manufacturer’s specification fully to give an even shade before painting and curing as per manufacturers  specifications., Working at all levels and heights and as directed by Engineer- in- Charge.</t>
    </r>
  </si>
  <si>
    <r>
      <t xml:space="preserve">Providing Polymer Coating (Water Proof Coating) for </t>
    </r>
    <r>
      <rPr>
        <b/>
        <sz val="14"/>
        <color theme="1"/>
        <rFont val="Verdana"/>
        <family val="2"/>
      </rPr>
      <t>sunken portion of toilet</t>
    </r>
    <r>
      <rPr>
        <sz val="14"/>
        <color theme="1"/>
        <rFont val="Verdana"/>
        <family val="2"/>
      </rPr>
      <t xml:space="preserve"> with following specification and the surface shall be cleaned to remove all dust, foregin, matters lose materials or any other deposits of contamination by rubbing with wire brush.
Slurry: Dry blend and polymer liquid blend shall be mixed into the desired ratio as per recommendation of the supplier.
The mix shall be stirred thoroughly until no bubbles remain in the mix. Any lumps found in mix shall be removed.
Apply first coat of polymer modified cementitious slurry by brush on wet cleaned surface. After drying, second coat shall be applied on the first coat as directed by the departmental officers etc. The rate inclusive of cost of materials and labour, etc., complete.</t>
    </r>
  </si>
  <si>
    <r>
      <rPr>
        <b/>
        <sz val="14"/>
        <color theme="1"/>
        <rFont val="Verdana"/>
        <family val="2"/>
      </rPr>
      <t>TERRACE    WATERPROOFING:</t>
    </r>
    <r>
      <rPr>
        <sz val="14"/>
        <color theme="1"/>
        <rFont val="Verdana"/>
        <family val="2"/>
      </rPr>
      <t xml:space="preserve">
Supply and laying water proofing treatment for terrace covering the following order and  consisting of following operations.</t>
    </r>
  </si>
  <si>
    <r>
      <t xml:space="preserve">Special Type </t>
    </r>
    <r>
      <rPr>
        <b/>
        <sz val="14"/>
        <color theme="1"/>
        <rFont val="Verdana"/>
        <family val="2"/>
      </rPr>
      <t>Mirror</t>
    </r>
    <r>
      <rPr>
        <sz val="14"/>
        <color theme="1"/>
        <rFont val="Verdana"/>
        <family val="2"/>
      </rPr>
      <t xml:space="preserve"> of size 1000 x 780mm 
Rate to including all materials, labour charges, transportation, lead &amp; Lifts, wastage,  etc. as complete with all respects complying with relevant standard specification, as directed by the departmental officers. </t>
    </r>
  </si>
  <si>
    <r>
      <t>Supplying, fabricating and placing in position</t>
    </r>
    <r>
      <rPr>
        <b/>
        <sz val="14"/>
        <color theme="1"/>
        <rFont val="Verdana"/>
        <family val="2"/>
      </rPr>
      <t xml:space="preserve"> M.S. chequered plate</t>
    </r>
    <r>
      <rPr>
        <sz val="14"/>
        <color theme="1"/>
        <rFont val="Verdana"/>
        <family val="2"/>
      </rPr>
      <t xml:space="preserve"> of required thickness of 5 mm for machine floors and shafts closing at all floors at all levels with necessary supports such as M.S. angles/M.S. flats including stiffeners to be placed on angle iron frame work. (Frame work, angles, stiffeners will be measured under relevant structural steel item). Rate shall include making necessary cutouts for inserts, All MS members shall be painted with 2 Coats (each coat of 25 microns DFT) of red oxide zinc phosphate primer and 2 Coats (each coat of 35 microns DFT) of synthetic enamel paint of approved colour and make etc,.
Rate including all materials, labour charges, wastages, necessary lead and lifts, transportation charges, loading, unloading, scaffolding, staging, straightening, cutting, fabricating, welding, bending to shape bolting, installation charges, fuel, consumables as complete with all respects complying with relevant standard specification and as directed by the departmental officers. </t>
    </r>
  </si>
  <si>
    <r>
      <t xml:space="preserve">as same as First Floor </t>
    </r>
    <r>
      <rPr>
        <b/>
        <sz val="14"/>
        <color theme="1"/>
        <rFont val="Verdana"/>
        <family val="2"/>
      </rPr>
      <t>Roof beam</t>
    </r>
  </si>
  <si>
    <r>
      <t xml:space="preserve">as same as First Floor </t>
    </r>
    <r>
      <rPr>
        <b/>
        <sz val="14"/>
        <color theme="1"/>
        <rFont val="Verdana"/>
        <family val="2"/>
      </rPr>
      <t>Roof Slab</t>
    </r>
  </si>
  <si>
    <r>
      <t xml:space="preserve">as same as First Floor </t>
    </r>
    <r>
      <rPr>
        <b/>
        <sz val="14"/>
        <color theme="1"/>
        <rFont val="Verdana"/>
        <family val="2"/>
      </rPr>
      <t>Staircase</t>
    </r>
  </si>
  <si>
    <r>
      <t xml:space="preserve">as same as First Floor </t>
    </r>
    <r>
      <rPr>
        <b/>
        <sz val="14"/>
        <color theme="1"/>
        <rFont val="Verdana"/>
        <family val="2"/>
      </rPr>
      <t>Lintel</t>
    </r>
  </si>
  <si>
    <t>First Quality Plain Ceramic Tiles of all colours</t>
  </si>
  <si>
    <t>5.i</t>
  </si>
  <si>
    <t xml:space="preserve">MEP WORKS </t>
  </si>
  <si>
    <t>FD1</t>
  </si>
  <si>
    <t>FD2</t>
  </si>
  <si>
    <t>D4</t>
  </si>
  <si>
    <t>D5</t>
  </si>
  <si>
    <t>Local</t>
  </si>
  <si>
    <t>COMPARISON STATEMENT - INTERNAL CIVIL &amp; INTERIOR WORKS</t>
  </si>
  <si>
    <t>ANNEXURE - 01</t>
  </si>
  <si>
    <t>SPICA 
(Refer Quotation 1)</t>
  </si>
  <si>
    <t>ERGOLINE
(Refer Quotation 2)</t>
  </si>
  <si>
    <t>ENTERSPACE
(Refer Quotation 3)</t>
  </si>
  <si>
    <t>Lowest Price</t>
  </si>
  <si>
    <t>ANNEXURE - 02</t>
  </si>
  <si>
    <t>Loose Furniture and Chairs</t>
  </si>
  <si>
    <t>ANNEXURE - 03</t>
  </si>
  <si>
    <t>JOINERY WORKS</t>
  </si>
  <si>
    <r>
      <t xml:space="preserve">Supply &amp; Fixing of Aluminium Glazed Door Single Leaf with Glass infill of 12mm thk toughened glass with Dormakaba Alterra lite System-100mm frames Stiles all around the 
door. Aluminium Stile to be formed out of 100x45mm of Alterra STP100 Door Profile frame with clips &amp; seals with Dormakaba Flush Hinges (3Nos) &amp; TGDI-D 22x300mm Pull 
Handle, 917 Narrow stile Dead Lock package and Dormakaba TS91 Door closer (as per EN 1154) with Hold Open unit,For doors part of single/double glazed partiton DP100-SG/DG Door rebate profile to be used.In case of Glass overall panel Alterra lite OHPDP100-SD/DG Over Panel Door profile to be used. The Alterra lite profiles shall be suitable for Glass thickness of 12mm.The Profile shall be matt natural anodized, the Profile Manufacturer to supply all the necessary clips, seals and fixing accessories for the system.
All Profiles to be with 2 mm Gauge thickness  Excluding 20 Micron of Anodizing.
Approved Manufacturer: Profiles/Frames: 
Dormakaba, Glass : Saint Giobain/Asahi
Width </t>
    </r>
    <r>
      <rPr>
        <b/>
        <sz val="12"/>
        <color theme="1"/>
        <rFont val="Tahoma"/>
        <family val="2"/>
      </rPr>
      <t>1000mm x Height 2400mm</t>
    </r>
  </si>
  <si>
    <t>Supply and Fixing of Single Glazed Glass partition of 12mm Toughened Glass using Dormakaba ALTERRALITE System-100 Frames to a height of maximum 4m or as per 
drawing.The Fixed glass to be fixed using Dormakaba ALTERRALITE BP100 Profiles at Top &amp; Bottom &amp; ALTERRALITE SP100 at sides. 
The profile size to be 100x25MM to be fixed on to the floor/wall/ ceiling as per the architect design. Dormakaba ALTERRALITE H Junction profile to be used at all Glass to Glass vertical joints, 90 Deg L Junction Profiles and T Junction profiles necessary as per design.In case of Glass 
overall panel ALTERRALITE OHP100 Overpanel Profile to be used.In case of Open glass edges EP100 End Profile to be used. 
The ALTERRALITE profiles shall be suitable for Glass thickness of 12mm.The Profile shall be matt natural anodized, the Profile Manufacturer to supply all the necessary clips, seals and fixing accessories for the system.
All Profiles to be with 2 mm Gauge thickness 
Excluding 20 Micron of Anodizing.
Approved Manufacturer: Profiles/Frames: 
Dormakaba, Glass : Saint Giobain/Asahi</t>
  </si>
  <si>
    <t>m2</t>
  </si>
  <si>
    <t>Supply and fixing Fire rated door 2hr. rating
hollow metal doors - Powder Coated with 
vision panel of size 200 x 300mm.</t>
  </si>
  <si>
    <r>
      <t xml:space="preserve">2hrs.  Fire  rated  hollow  metal  doors  -  Powder  Coated single leaf door of </t>
    </r>
    <r>
      <rPr>
        <b/>
        <sz val="12"/>
        <color theme="1"/>
        <rFont val="Tahoma"/>
        <family val="2"/>
      </rPr>
      <t>size 1500x2150mm</t>
    </r>
    <r>
      <rPr>
        <sz val="12"/>
        <color theme="1"/>
        <rFont val="Tahoma"/>
        <family val="2"/>
      </rPr>
      <t xml:space="preserve"> with vision panel of size 200 x 300mm.
Hardware : SS Ball bearing hinges - 4"X3"X3mm, with Pull Handle 22x300mm D Type, 278 Dead Lock Package and TS 92 door closer</t>
    </r>
  </si>
  <si>
    <t>Total Amount (Excluding GST)</t>
  </si>
  <si>
    <t>ANNEXURE - 04</t>
  </si>
  <si>
    <t>B</t>
  </si>
  <si>
    <t>MASONARY WORKS</t>
  </si>
  <si>
    <t>C</t>
  </si>
  <si>
    <r>
      <t xml:space="preserve">Supply and grouting the </t>
    </r>
    <r>
      <rPr>
        <b/>
        <sz val="12"/>
        <rFont val="Tahoma"/>
        <family val="2"/>
      </rPr>
      <t>gaps around the pipes</t>
    </r>
    <r>
      <rPr>
        <sz val="12"/>
        <rFont val="Tahoma"/>
        <family val="2"/>
      </rPr>
      <t xml:space="preserve"> at any dia should be filed in order to provide a proper bond and the same to be aligned by the respective agency.  Clean the entire surface and remove the loose particles from the core area. Minimum of 10mm all around gap to be provided between the pipe and the core Provide shuttering below the core apply one coat of CICO LATEX over the area and fill up the hole with CICO GROUT - GP Polymer Based Non-Shrink Grout and finish the surface smoothly.</t>
    </r>
  </si>
  <si>
    <t>Supplying and filling the sunken slab  area by  BRICK-BATCOBA by adding CICO NO:1 or approved equivalent admixture including applying two coats not less than 2 mm thick of TAPECRETE- Acrylic  Polymer Based Waterproof Coating, over the final coat of cement plaster 12 mm thick with cement sand mortar 1:3 mixed with water proofing compound like CICO No.1 at the rate specified in the manufacturer's specification after entire completion of laying pipes, sanitary fittings etc.  
Rate including all materials, labour charges, wastages with necessary lead and lifts, working at all levels, protecting the laid pipes and sanitary fittings, finishing the surface smooth to receive the top coat of water proofing application etc. as complete with all respects complying with relevant standard specification and as directed by the departmental officers.</t>
  </si>
  <si>
    <t xml:space="preserve">iv)The concrete slab  shall be thoroughly cleaned to remove debris and dust, and application of two coats not less than 2 mm thick of TAPECRETE - RTU Polymer Based Elastomeric Waterproof Coating over  well prepared surface. </t>
  </si>
  <si>
    <r>
      <t>iv)The  wall surface shall be thoroughly cleaned to remove debris and dust, and application of two coats not less than 2 mm thick of  TAPECRETE - RTU Polymer Based Elastomeric Waterproof Coating over  well prepared surface.</t>
    </r>
    <r>
      <rPr>
        <b/>
        <sz val="12"/>
        <rFont val="Tahoma"/>
        <family val="2"/>
      </rPr>
      <t xml:space="preserve"> </t>
    </r>
  </si>
  <si>
    <t>D</t>
  </si>
  <si>
    <t xml:space="preserve">TERRACE WATER PROOFING WORKS </t>
  </si>
  <si>
    <t>Supply and laying water proofing treatment for terrace covering the following order and  consisting of following operations.</t>
  </si>
  <si>
    <t>E</t>
  </si>
  <si>
    <r>
      <t xml:space="preserve">Providing and applying </t>
    </r>
    <r>
      <rPr>
        <b/>
        <sz val="12"/>
        <color theme="1"/>
        <rFont val="Tahoma"/>
        <family val="2"/>
      </rPr>
      <t>6mm thick Polyurethane Flooring</t>
    </r>
    <r>
      <rPr>
        <sz val="12"/>
        <color theme="1"/>
        <rFont val="Tahoma"/>
        <family val="2"/>
      </rPr>
      <t>, seamless, solvent-free, moisture insensitive and anti-microbial polyurethane concrete flooring system, matching below mentioned performance properties:</t>
    </r>
  </si>
  <si>
    <t xml:space="preserve">FIRE RESISTANCE - Surface spread of flames : Class 2.THERMAL RESISTANCE - Tolerant up to 100  ̊C intermittent spillages or constant 90  ̊C  dry heat at 5 mm thickness. ABRASION RESISTANCE: 25mg loss per 1000Cycles. COMPRESSIVE STRENGTH: &gt;50 N/mm  FLEXURAL STRENGTH: &gt;20N/mm TENSILE STRENGTH: &gt;10N/mm </t>
  </si>
  <si>
    <t>SURFACE PREPARATION :- The substrate concrete surface must have compressive strength of 25Mpa and should be more than 14 days old and the surface should be dry, moisture content below 75% RH in the substrate. Surface laitance must be removed by mechanical action. Locking chases/termination grooves shall be provided in the substrate.                                                                             Priming/Scratch coat shall be applied using Flowfresh RT by trowel or with a rake with appropriate depth gauges. Filler (aggregate scatter) shall be applied over Scratch coat.     Top Coat to be applied using  hand trowel to level screed lines and create an even surface.                                        The rate shall include  all cuttings, wastages, cost of all materials adhesives, cleaning the surface, making dust free, including all the materials and labour mentioned above for complete finished work. Only laid area will be measured for payment.</t>
  </si>
  <si>
    <r>
      <t xml:space="preserve">Supply and application of </t>
    </r>
    <r>
      <rPr>
        <b/>
        <sz val="12"/>
        <color theme="1"/>
        <rFont val="Tahoma"/>
        <family val="2"/>
      </rPr>
      <t>epoxy flooring at 3 mm thickness</t>
    </r>
    <r>
      <rPr>
        <sz val="12"/>
        <color theme="1"/>
        <rFont val="Tahoma"/>
        <family val="2"/>
      </rPr>
      <t xml:space="preserve"> with epoxy underlay screed using of approved make at 2 mm thick over a priming layer of prime 25. Overlay the topping using approved make Epoxy of 1 mm thick for the designated working area after the complete surface preparation. System contains the properties like : Compressive strength (BS 6319)  : 50 N/mm² @7 days, Flexural strength (BS 6319)  : 26 N/mm² @7 days , Tensile strength (BS 6319)   : 12 N/mm² @7 days, the quoted rates includes complete surface preparation tools material and labor etc; complete as per the Manufacturers specification and direction of Engineer incharge. The application shall be done by Manufacturers approved applicators.</t>
    </r>
  </si>
  <si>
    <r>
      <t xml:space="preserve">Providing and fixing of flooring with quality approved make of </t>
    </r>
    <r>
      <rPr>
        <b/>
        <sz val="12"/>
        <color theme="1"/>
        <rFont val="Tahoma"/>
        <family val="2"/>
      </rPr>
      <t>Glazed vitrified tiles</t>
    </r>
    <r>
      <rPr>
        <sz val="12"/>
        <color theme="1"/>
        <rFont val="Tahoma"/>
        <family val="2"/>
      </rPr>
      <t xml:space="preserve"> - (seamless joint) confirming to IS 13006/EN 176  Group B1a with technical specification as Mohs scratch hardness minimum  7, Water Absorption of less than 0.5%, Modulus of Rupture greater than 35 N/mm2, Deep Abrasion resistant maximum 175 mm 3 Surface flatness, Straightness of sides ± 0.25%, thickness  ± 5% of size of  approved colour and size &amp; thick as specified below, set  in 20mm thick C.M.1:4(1 cement and 4 manufactured sand )  and pointing with white cement  to matching colour shade as per Manufacturer's Specification and as directed.  Rate shall include wastages, for preparation of base surface, cleaning, acid wash, and finished surface, protection with Gypsum / Pop  layer  over  Plastic sheet and removing the same before handing over, work at  all levels and as directed. Rate shall be inclusive of forming pattern as directed by client /   Engineer-in-charge. etc; as complete in all respects and complying with relevant standard specifications and as directed.</t>
    </r>
  </si>
  <si>
    <r>
      <t>Providing flooring with best quality approved make White ceramic tiles ranges, Size of tiles shall be 6mm thick of 300 x 300 mm size set in  CM 1:4, (1 of cement : 4 of sand),  20mm thick and  pointing the joints with Laticrete and pointing with Laticrete of approved make and as directed.  Rate shall include for preparation of base surface, and finishing the surface, cleaning the surface, and protecting and with Gypsum / POP layer  over  Plastic sheet and removing the same before handing over, work at  all levels etc. as complete in all respects and complying with relevant standard specifications and as directed .</t>
    </r>
    <r>
      <rPr>
        <b/>
        <sz val="12"/>
        <color theme="1"/>
        <rFont val="Tahoma"/>
        <family val="2"/>
      </rPr>
      <t>( Over Head Tanks &amp; U.G.Sump).</t>
    </r>
  </si>
  <si>
    <r>
      <t xml:space="preserve">Providing and fixing of flooring with best approved quality of  </t>
    </r>
    <r>
      <rPr>
        <b/>
        <sz val="12"/>
        <color theme="1"/>
        <rFont val="Tahoma"/>
        <family val="2"/>
      </rPr>
      <t>vitrified tiles</t>
    </r>
    <r>
      <rPr>
        <sz val="12"/>
        <color theme="1"/>
        <rFont val="Tahoma"/>
        <family val="2"/>
      </rPr>
      <t xml:space="preserve"> of various sizes over a base layer of cement mortar 1:4 (One Cement and three of sand) 20mm thick  and pointing with same colour cement neatly etc., including finishing the joints and appointing flush with even surfaces etc., as directed.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t>
    </r>
  </si>
  <si>
    <t>F</t>
  </si>
  <si>
    <t>WALL DADOING WORKS</t>
  </si>
  <si>
    <r>
      <t xml:space="preserve">Supply and Fixing Dadoing with best quality </t>
    </r>
    <r>
      <rPr>
        <b/>
        <sz val="12"/>
        <color theme="1"/>
        <rFont val="Tahoma"/>
        <family val="2"/>
      </rPr>
      <t>polished vitrified tile</t>
    </r>
    <r>
      <rPr>
        <sz val="12"/>
        <color theme="1"/>
        <rFont val="Tahoma"/>
        <family val="2"/>
      </rPr>
      <t xml:space="preserve"> of approved make set in C.M 1:3 (1 of Cement : 3 of manufactured sand) 12 mm thick and pointing the joints with white cement compound and matching corner tile beading.   
Rate including all materials, labour charges, wastages, necessary lead and lifts, working at all levels, transportation charges, loading, unloading, chasing of wall for flushing the tile inline with wall surface,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Engineer-in-charge.(Toilets)</t>
    </r>
  </si>
  <si>
    <r>
      <t>Providing Dadoing with best quality</t>
    </r>
    <r>
      <rPr>
        <b/>
        <sz val="12"/>
        <color theme="1"/>
        <rFont val="Tahoma"/>
        <family val="2"/>
      </rPr>
      <t xml:space="preserve"> Ceramic tile</t>
    </r>
    <r>
      <rPr>
        <sz val="12"/>
        <color theme="1"/>
        <rFont val="Tahoma"/>
        <family val="2"/>
      </rPr>
      <t xml:space="preserve"> of approved make and size set in cement mortar 1:3 (1 of Cement : 3 of manufactured sand), pointing the joints with white cement compound and matching corner tile beading. Rate including all materials, labour charges, wastages, necessary lead and lifts, working at all levels, transportation charges, loading, unloading, chasing of wall for flushing the tile inline with wall surface,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Engineer-in-charge. (Kitchen &amp; wash )</t>
    </r>
  </si>
  <si>
    <t>G</t>
  </si>
  <si>
    <t>Supply and Laying Glazed vitrified tiles skirting 100 mm high of same approved flooring tile set in C.M 1:3 (1 of Cement : 3 of manufactured sand) 12 mm thick and pointing the joints with white cement compound and matching corner tile beading.</t>
  </si>
  <si>
    <t xml:space="preserve">Providing and fixing of 75mm height Anodized Aluminum Skirting over partition, columns and walls with all accessories. The screws anchored should be recessed and covered with gaskets. Rate should include Covers at corners &amp; ends, screws, wall chipping, plastering, punning., complete at all levels and heights and as directed by Engineer-in- Charge.
</t>
  </si>
  <si>
    <t>H</t>
  </si>
  <si>
    <t>PAINTING WORKS</t>
  </si>
  <si>
    <t>Providing and applying three coats of Acrylic emulsion paint, with low VOC as per GS-11, anti fungal and washable of approved colour over a coat of water based primer including preparation of surface by thorough cleaning and applying two coats of premixed putty as per manufacturer’s specification fully to give an even shade before painting and curing as per manufacturers  specifications., Working at all levels and heights and as directed by Engineer- in- Charge.</t>
  </si>
  <si>
    <t>FALSE CEILING WORKS</t>
  </si>
  <si>
    <t>Providing and Fixing 15 mm thick densified tegular edged eco friendly  light weight calcium silicate false ceiling tiles of approved texture of size 595 x 595 mm in true horizontal level, suspended on inter locking metal grid of hot dipped galvanised steel sections (galvanising @ 120 grams per sqm including both side) consisting of main ‘T’ runner suitably spaced at joints to get required length and of size 24x38 mm made from 0.33 mm thick (minimum) sheet, spaced 1200 mm centre to centre, and cross “T” of size 24x28 mm made out of 0.33 mm (Minimum) sheet, 1200 mm long spaced between main’T’ at 600 mm centre to centre to form a grid of 1200x600 mm and secondary cross ‘T’ of length 600 mm and size 24 x28 mm made of 0.33 mm thick (Minimum) sheet to be inter locked at middle of the 1200x 600 mm panel to from grid of size 600x600 mm,</t>
  </si>
  <si>
    <r>
      <t xml:space="preserve">2hrs.  Fire  rated  hollow  metal  doors  -  Powder  Coated single leaf door of </t>
    </r>
    <r>
      <rPr>
        <b/>
        <sz val="14"/>
        <color theme="1"/>
        <rFont val="Verdana"/>
        <family val="2"/>
      </rPr>
      <t>size 900x2150mm</t>
    </r>
    <r>
      <rPr>
        <sz val="14"/>
        <color theme="1"/>
        <rFont val="Verdana"/>
        <family val="2"/>
      </rPr>
      <t xml:space="preserve"> with vision panel of size 200 x 300mm.
</t>
    </r>
  </si>
  <si>
    <t>20-40km</t>
  </si>
  <si>
    <t>Second Class Ground Moulded Chamber Burnt Bricks of size (9"x4 1/2"x3")</t>
  </si>
  <si>
    <t>Page.No. 11
Sch.Item.No.20A</t>
  </si>
  <si>
    <t xml:space="preserve">Add the basic rate for works 1.50m depth and upto 4.5m depth </t>
  </si>
  <si>
    <t>Add the basic rate for works 4.50m depth and upto 9m
depth</t>
  </si>
  <si>
    <t>Add extra over the above item 2 for every additional
4.50m depth beyond 9.0m depth</t>
  </si>
  <si>
    <t xml:space="preserve">Add the basic rate for works 1.50m depth and upto
4.50m depth </t>
  </si>
  <si>
    <t>Add the basic rate for works above 4.50m depth and upto 9.0m depth</t>
  </si>
  <si>
    <t>Brick or Stone Masonry</t>
  </si>
  <si>
    <t>Fixing in position mild steel grills for windows, ventilators,
etc.</t>
  </si>
  <si>
    <t>Fixing in position mild steel grills for windows, ventilators, etc.</t>
  </si>
  <si>
    <t>Fixing MS rods round / square for windows</t>
  </si>
  <si>
    <t>Fixing iron bars in windows and ventilators</t>
  </si>
  <si>
    <t>Page.No. 29 /O 3</t>
  </si>
  <si>
    <t>Page.No. 29 /O 4</t>
  </si>
  <si>
    <t>Page.No. 29 /O 5</t>
  </si>
  <si>
    <t>Gravel</t>
  </si>
  <si>
    <t xml:space="preserve">Page.No. 17 / Sch.Item.No.57 &amp; P.no. 32 (Annex-V lead charges ) </t>
  </si>
  <si>
    <t>Plasticizer / Super Plasticizer</t>
  </si>
  <si>
    <t>Page.No. 11 Sch.Item.No.39A</t>
  </si>
  <si>
    <t>Page.No. 12
Sch.Item.No.39B</t>
  </si>
  <si>
    <t>ADD 100% FOR NARROW CUTTING</t>
  </si>
  <si>
    <t xml:space="preserve"> 1/3 REFILLING CHARGES</t>
  </si>
  <si>
    <t>Loading Charges P. no. 32 (Annex-V lead charges )</t>
  </si>
  <si>
    <t>Levelling, Finishing  and curing charges (Sundries 0.5%)</t>
  </si>
  <si>
    <t>Supplying Mild Steel Grills for windows, ventilators,
etc., including priming coat</t>
  </si>
  <si>
    <t>O.3</t>
  </si>
  <si>
    <t>Making holes for cutting and making suitable holes for fixing the wash basin including chamfering smooth and exposed edges of the cut slab etc., complete in all respects.Considering 2m L x 0.75 m W counter having 2 nos of wash basin hole cutting. = 2 x 0.75 = 1.5 sqm / 2 nos of holes. and so, in 10 sqm area no of WB hole cutting will be = ((2/1.5)x10) = 13.33 holes required</t>
  </si>
  <si>
    <t>Provision for Labour Welfare fund @1%</t>
  </si>
  <si>
    <t>Custom made Furniture</t>
  </si>
  <si>
    <t>Workstations</t>
  </si>
  <si>
    <t>Modular Tables</t>
  </si>
  <si>
    <t>Modular Chairs</t>
  </si>
  <si>
    <t>Loose Furniture and Soft Seating</t>
  </si>
  <si>
    <t>Photo</t>
  </si>
  <si>
    <t>CANTEEN</t>
  </si>
  <si>
    <t>ROOMS</t>
  </si>
  <si>
    <t xml:space="preserve">Sub Total Amount </t>
  </si>
  <si>
    <t>Grand Total Amount</t>
  </si>
  <si>
    <t>COST OF FILLING GRAVEL</t>
  </si>
  <si>
    <t>PHE System</t>
  </si>
  <si>
    <t>Window</t>
  </si>
  <si>
    <r>
      <rPr>
        <b/>
        <sz val="14"/>
        <rFont val="Verdana"/>
        <family val="2"/>
      </rPr>
      <t>UPVC Sliding Window with SS mesh</t>
    </r>
    <r>
      <rPr>
        <sz val="14"/>
        <rFont val="Verdana"/>
        <family val="2"/>
      </rPr>
      <t xml:space="preserve">
Providing and fixing of Two and half track Sliding Window with SS Mesh using 108mm x 47mm outer frame with Window Sash of 56mm x 38mm frame screen sash of 52mm x 22mm and all sections shall reinforced with Galvanized Iron of 120 GSM profiles through out the window steel of 1mm in Frame and 1.5mm in Shutters.Composition of profile shall consists a minimum of 6 PHR of TiO₂ for every 100 parts of PVC resin. All Glazed shutters are fixed with 5mm thk clear glass with TPV gasket and co extruded beadings with single point locking system of flush lock, Profile thicknes of 2.2mm +_ 0.2mm. The rate shall be include for preaparing &amp; submitting shop drawings, calculations etc.. and for conducting the necessary test to check for water tightness at various heights etc.. and also inclusive of cost and conveyance of all materials, accessories, labour charges for transportation, erection at site complete for finished item of work, as complete with all respects complying with relevant standard codes &amp; specification, as directed by the Engineer-in-charge.</t>
    </r>
  </si>
  <si>
    <t>Size 1500x1250mm</t>
  </si>
  <si>
    <t>Size 1200x1250mm</t>
  </si>
  <si>
    <t>Size  900x1250mm</t>
  </si>
  <si>
    <t>Size 1500x950mm</t>
  </si>
  <si>
    <t>Transportation charges 10-20km</t>
  </si>
  <si>
    <t>Transportation charges 0-10km</t>
  </si>
  <si>
    <t>Varagur</t>
  </si>
  <si>
    <t>Vengikkal</t>
  </si>
  <si>
    <t xml:space="preserve">Page.No. 14 / Sch.Item.No 2 a  &amp; P. no.32 ( Annex-V lead charges )  </t>
  </si>
  <si>
    <t xml:space="preserve">Supplying, fabricating and fixing in position of steel  Fe 550D grade Reinforcement for all RCC work with Thermo Mechanically Treated Bars (TMT) conforming to IS 1786 of latest version according to drawings and binding the reinforcement with 18 gauge double fold GI binding wire and providing Concrete / PVC cover blocks to maintain the cover as required. Rate to include all bending, tying grills, placing, transportation, lead &amp; lifts, tools &amp; plants, fuels, all materials, labour charges, wastages , laying at all levels, fixing in position, cost of cover blocks, etc. as complete with all respects complying with relevant standard specification, as directed by the departmental officers.
</t>
  </si>
  <si>
    <t>F10</t>
  </si>
  <si>
    <t>F11</t>
  </si>
  <si>
    <t>F12</t>
  </si>
  <si>
    <t>F14</t>
  </si>
  <si>
    <t>F16</t>
  </si>
  <si>
    <t>F17</t>
  </si>
  <si>
    <t>F18</t>
  </si>
  <si>
    <t>F19</t>
  </si>
  <si>
    <t>F20</t>
  </si>
  <si>
    <t>F21</t>
  </si>
  <si>
    <t>F22</t>
  </si>
  <si>
    <t>CF4</t>
  </si>
  <si>
    <t>CF5</t>
  </si>
  <si>
    <t>Raft-1</t>
  </si>
  <si>
    <t>Raft-2</t>
  </si>
  <si>
    <t>Raft-3</t>
  </si>
  <si>
    <t>Grid S</t>
  </si>
  <si>
    <t>Grid Q</t>
  </si>
  <si>
    <t>PB3</t>
  </si>
  <si>
    <t>Grid S &amp; Q</t>
  </si>
  <si>
    <t>PB2</t>
  </si>
  <si>
    <t>PB4</t>
  </si>
  <si>
    <t>Grid R</t>
  </si>
  <si>
    <t>PB6</t>
  </si>
  <si>
    <t>Grid P</t>
  </si>
  <si>
    <t>PB10</t>
  </si>
  <si>
    <t>PB8</t>
  </si>
  <si>
    <t>PB9</t>
  </si>
  <si>
    <t>PB16</t>
  </si>
  <si>
    <t>PB15</t>
  </si>
  <si>
    <t>PB11</t>
  </si>
  <si>
    <t>PB17</t>
  </si>
  <si>
    <t>Grid L&amp;H</t>
  </si>
  <si>
    <t>PB13</t>
  </si>
  <si>
    <t>Grid J&amp;G</t>
  </si>
  <si>
    <t>PB12</t>
  </si>
  <si>
    <t>PB20</t>
  </si>
  <si>
    <t>PB18</t>
  </si>
  <si>
    <t>PB22</t>
  </si>
  <si>
    <t>PB19</t>
  </si>
  <si>
    <t>PB14</t>
  </si>
  <si>
    <t>PB23</t>
  </si>
  <si>
    <t>PB24</t>
  </si>
  <si>
    <t>PB25</t>
  </si>
  <si>
    <t>PB26</t>
  </si>
  <si>
    <t>PB27</t>
  </si>
  <si>
    <t>PB32</t>
  </si>
  <si>
    <t>B/w 2&amp;4</t>
  </si>
  <si>
    <t>PB28</t>
  </si>
  <si>
    <t>B/w M&amp;J</t>
  </si>
  <si>
    <t>PB29</t>
  </si>
  <si>
    <t>B/w C&amp;A</t>
  </si>
  <si>
    <t>PB31</t>
  </si>
  <si>
    <t>B/w J&amp;C</t>
  </si>
  <si>
    <t>B/w Q&amp;A</t>
  </si>
  <si>
    <t>PB33</t>
  </si>
  <si>
    <t>PB51</t>
  </si>
  <si>
    <t>PB35</t>
  </si>
  <si>
    <t>Grid 7</t>
  </si>
  <si>
    <t>PB36</t>
  </si>
  <si>
    <t>PB38</t>
  </si>
  <si>
    <t>B/w 7&amp;9</t>
  </si>
  <si>
    <t>Grid 8</t>
  </si>
  <si>
    <t>PB37</t>
  </si>
  <si>
    <t>Grid 9</t>
  </si>
  <si>
    <t>Grid 9&amp;11</t>
  </si>
  <si>
    <t>Grid11</t>
  </si>
  <si>
    <t>PB39</t>
  </si>
  <si>
    <t>Grid12</t>
  </si>
  <si>
    <t>PB40</t>
  </si>
  <si>
    <t>Grid13</t>
  </si>
  <si>
    <t>PB41</t>
  </si>
  <si>
    <t>Grid14</t>
  </si>
  <si>
    <t>PB42</t>
  </si>
  <si>
    <t>PB43</t>
  </si>
  <si>
    <t>Grid16</t>
  </si>
  <si>
    <t>PB44</t>
  </si>
  <si>
    <t>Grid17</t>
  </si>
  <si>
    <t>PB46</t>
  </si>
  <si>
    <t>Grid17&amp;18</t>
  </si>
  <si>
    <t>PB47</t>
  </si>
  <si>
    <t>PB48</t>
  </si>
  <si>
    <t>Grid17&amp;19</t>
  </si>
  <si>
    <t>PB49</t>
  </si>
  <si>
    <t>Grid19</t>
  </si>
  <si>
    <t>PB50</t>
  </si>
  <si>
    <t>GridS&amp;Q</t>
  </si>
  <si>
    <t>Grid9&amp;11</t>
  </si>
  <si>
    <t>Gr17&amp;18</t>
  </si>
  <si>
    <t>Gr17&amp;19</t>
  </si>
  <si>
    <t>Common Lounge</t>
  </si>
  <si>
    <t>Electrical Room</t>
  </si>
  <si>
    <t>Warden Room</t>
  </si>
  <si>
    <t>W.C</t>
  </si>
  <si>
    <t>Dining Room</t>
  </si>
  <si>
    <t>Duct</t>
  </si>
  <si>
    <t>Wash Area</t>
  </si>
  <si>
    <t>Common Toilet</t>
  </si>
  <si>
    <t>1.5m wide corridor</t>
  </si>
  <si>
    <t>Creche</t>
  </si>
  <si>
    <t>Lift Door Near</t>
  </si>
  <si>
    <t>Court yard</t>
  </si>
  <si>
    <t>Staircase 1,2</t>
  </si>
  <si>
    <t>Physically challged-1,2</t>
  </si>
  <si>
    <t>Admin</t>
  </si>
  <si>
    <t>GrS&amp;Q</t>
  </si>
  <si>
    <t>C1</t>
  </si>
  <si>
    <t>C2</t>
  </si>
  <si>
    <t>C3</t>
  </si>
  <si>
    <t>C4</t>
  </si>
  <si>
    <t>C5,C6</t>
  </si>
  <si>
    <t>C7</t>
  </si>
  <si>
    <t>C8,C16</t>
  </si>
  <si>
    <t>C9</t>
  </si>
  <si>
    <t>C10</t>
  </si>
  <si>
    <t>C11</t>
  </si>
  <si>
    <t>C12</t>
  </si>
  <si>
    <t>C13</t>
  </si>
  <si>
    <t>C14</t>
  </si>
  <si>
    <t>C15</t>
  </si>
  <si>
    <t>C17</t>
  </si>
  <si>
    <t>C18</t>
  </si>
  <si>
    <t>C19</t>
  </si>
  <si>
    <t>Transformer room</t>
  </si>
  <si>
    <t>B101</t>
  </si>
  <si>
    <t>S&amp;R B/W</t>
  </si>
  <si>
    <t>B102</t>
  </si>
  <si>
    <t>B103</t>
  </si>
  <si>
    <t>S&amp;Q B/W</t>
  </si>
  <si>
    <t>B104</t>
  </si>
  <si>
    <t>B105</t>
  </si>
  <si>
    <t>B106</t>
  </si>
  <si>
    <t>B107</t>
  </si>
  <si>
    <t>B108</t>
  </si>
  <si>
    <t>B109</t>
  </si>
  <si>
    <t>B109a</t>
  </si>
  <si>
    <t>B110</t>
  </si>
  <si>
    <t>B111</t>
  </si>
  <si>
    <t>B112</t>
  </si>
  <si>
    <t>B113</t>
  </si>
  <si>
    <t>B114</t>
  </si>
  <si>
    <t>B115</t>
  </si>
  <si>
    <t>B116</t>
  </si>
  <si>
    <t>B117</t>
  </si>
  <si>
    <t>B118</t>
  </si>
  <si>
    <t>B119</t>
  </si>
  <si>
    <t>B140,141</t>
  </si>
  <si>
    <t>Grid1</t>
  </si>
  <si>
    <t>B120</t>
  </si>
  <si>
    <t>Grid2</t>
  </si>
  <si>
    <t>B121</t>
  </si>
  <si>
    <t>B122</t>
  </si>
  <si>
    <t>B123</t>
  </si>
  <si>
    <t>B124</t>
  </si>
  <si>
    <t>Grid4</t>
  </si>
  <si>
    <t>B125</t>
  </si>
  <si>
    <t>B126</t>
  </si>
  <si>
    <t>B127</t>
  </si>
  <si>
    <t>Grid7</t>
  </si>
  <si>
    <t>B128-130</t>
  </si>
  <si>
    <t>B128-135</t>
  </si>
  <si>
    <t>B131-133</t>
  </si>
  <si>
    <t>Grid 13</t>
  </si>
  <si>
    <t>B134-138</t>
  </si>
  <si>
    <t>B136</t>
  </si>
  <si>
    <t>B137</t>
  </si>
  <si>
    <t>B139</t>
  </si>
  <si>
    <t>B142</t>
  </si>
  <si>
    <t>Grid (1-2)(S-Q)</t>
  </si>
  <si>
    <t>Grid (2-4)(S-Q)</t>
  </si>
  <si>
    <t>Grid (4-16)(S-N)</t>
  </si>
  <si>
    <t>S4</t>
  </si>
  <si>
    <t>Grid (16-17)(S-N)</t>
  </si>
  <si>
    <t>Grid (17-19)(S-N)</t>
  </si>
  <si>
    <t>Grid (1-4)(Q-A)</t>
  </si>
  <si>
    <t>Grid (4-16)(N-L)</t>
  </si>
  <si>
    <t>Grid (4-7)(F-E)</t>
  </si>
  <si>
    <t>Grid (11-13)(F-D)</t>
  </si>
  <si>
    <t>Grid (14-15)(A-L)</t>
  </si>
  <si>
    <t>Grid (15-18)(A-L)</t>
  </si>
  <si>
    <t>Grid (4-14)(A-D)</t>
  </si>
  <si>
    <t>Flight 1</t>
  </si>
  <si>
    <t>Flight 2</t>
  </si>
  <si>
    <t>Grid 19</t>
  </si>
  <si>
    <t>D2A</t>
  </si>
  <si>
    <t>KW1</t>
  </si>
  <si>
    <t>KW2</t>
  </si>
  <si>
    <t>Common Bath</t>
  </si>
  <si>
    <t>First  Floor Qty</t>
  </si>
  <si>
    <t>Opening-1</t>
  </si>
  <si>
    <t xml:space="preserve"> D4</t>
  </si>
  <si>
    <t>OHT,Wash Area</t>
  </si>
  <si>
    <r>
      <rPr>
        <b/>
        <sz val="14"/>
        <color theme="1"/>
        <rFont val="Verdana"/>
        <family val="2"/>
      </rPr>
      <t>First  Floor</t>
    </r>
    <r>
      <rPr>
        <sz val="14"/>
        <color theme="1"/>
        <rFont val="Verdana"/>
        <family val="2"/>
      </rPr>
      <t xml:space="preserve"> </t>
    </r>
    <r>
      <rPr>
        <b/>
        <sz val="14"/>
        <color theme="1"/>
        <rFont val="Verdana"/>
        <family val="2"/>
      </rPr>
      <t>Roof beam</t>
    </r>
  </si>
  <si>
    <r>
      <t xml:space="preserve">as same as First Floor </t>
    </r>
    <r>
      <rPr>
        <b/>
        <sz val="14"/>
        <color theme="1"/>
        <rFont val="Verdana"/>
        <family val="2"/>
      </rPr>
      <t>Counter Slab</t>
    </r>
  </si>
  <si>
    <t>Sunshade-GF</t>
  </si>
  <si>
    <t>Sunshade-F.F-T.F</t>
  </si>
  <si>
    <t>Sunshade Terrace</t>
  </si>
  <si>
    <t>Grid 1-19</t>
  </si>
  <si>
    <t>Grid (1-5)</t>
  </si>
  <si>
    <t>Grid (3-18)</t>
  </si>
  <si>
    <t>Grid (3-14)</t>
  </si>
  <si>
    <t>Grid (1-18)</t>
  </si>
  <si>
    <t>Grid A-S</t>
  </si>
  <si>
    <t>Grid (2-5)b/w</t>
  </si>
  <si>
    <t>Grid 11</t>
  </si>
  <si>
    <t>Grid 11-13</t>
  </si>
  <si>
    <t>Grid 13-16</t>
  </si>
  <si>
    <t>Grid 16</t>
  </si>
  <si>
    <t>Grid16-17 b/w</t>
  </si>
  <si>
    <t>Grid 17-19</t>
  </si>
  <si>
    <t>OP1</t>
  </si>
  <si>
    <t>FW</t>
  </si>
  <si>
    <t>Grid J-G</t>
  </si>
  <si>
    <t>Grid (A-C)b/w</t>
  </si>
  <si>
    <t>Grid 2-5 b/w</t>
  </si>
  <si>
    <t>Grid S,7-9</t>
  </si>
  <si>
    <t>Grid S 2-5</t>
  </si>
  <si>
    <t xml:space="preserve">Dorm-4  Bed </t>
  </si>
  <si>
    <t>Bath</t>
  </si>
  <si>
    <t>Twin Bed</t>
  </si>
  <si>
    <t>W4</t>
  </si>
  <si>
    <t>1st to 3 rd Floor</t>
  </si>
  <si>
    <t>Warden Room Twin Bed</t>
  </si>
  <si>
    <t>Phy.Challenged Twin Bed</t>
  </si>
  <si>
    <t>Loundromat</t>
  </si>
  <si>
    <t xml:space="preserve">Dorm 4 Bed </t>
  </si>
  <si>
    <t>Laundry mat 1</t>
  </si>
  <si>
    <t>Physically Challanged</t>
  </si>
  <si>
    <t>1st to 3rd  floor</t>
  </si>
  <si>
    <t>1st to 3 rd  floor</t>
  </si>
  <si>
    <t>Common bath</t>
  </si>
  <si>
    <t>Ramp Entrance</t>
  </si>
  <si>
    <t>Tread Entrance</t>
  </si>
  <si>
    <t xml:space="preserve">Tread Ele .Room </t>
  </si>
  <si>
    <t>1.5 m wide corrodor</t>
  </si>
  <si>
    <t xml:space="preserve">Stiarcase Portion </t>
  </si>
  <si>
    <t>Phy.Challanged Room</t>
  </si>
  <si>
    <t>Op</t>
  </si>
  <si>
    <t>op1</t>
  </si>
  <si>
    <t>SW</t>
  </si>
  <si>
    <t>Rs</t>
  </si>
  <si>
    <t>Passage</t>
  </si>
  <si>
    <t>Twin bed</t>
  </si>
  <si>
    <t>Duct -1</t>
  </si>
  <si>
    <t>Duct -2</t>
  </si>
  <si>
    <t>Twin- 4 bed</t>
  </si>
  <si>
    <t>Dorm -4 bed</t>
  </si>
  <si>
    <t>OP</t>
  </si>
  <si>
    <t>GF - First Floor</t>
  </si>
  <si>
    <t>Main Building</t>
  </si>
  <si>
    <t>1st to 3rd Floor</t>
  </si>
  <si>
    <t>Laundromat</t>
  </si>
  <si>
    <t>Lift Near</t>
  </si>
  <si>
    <t>1st to3 rd  floor</t>
  </si>
  <si>
    <t>Loundromat/pantry</t>
  </si>
  <si>
    <t>d/t D4</t>
  </si>
  <si>
    <t>d/t V1</t>
  </si>
  <si>
    <t>op</t>
  </si>
  <si>
    <t>Lift Head Room</t>
  </si>
  <si>
    <t>Staircase -1,2</t>
  </si>
  <si>
    <t>First Floor Terrace Area</t>
  </si>
  <si>
    <t>1st to 3rd floor</t>
  </si>
  <si>
    <t>Stair case - 1</t>
  </si>
  <si>
    <t xml:space="preserve">Grand Total </t>
  </si>
  <si>
    <t xml:space="preserve">Midlanding </t>
  </si>
  <si>
    <t>Over head tank</t>
  </si>
  <si>
    <t>Natural grey colour</t>
  </si>
  <si>
    <t>Mason I st class</t>
  </si>
  <si>
    <t>Mason II nd class</t>
  </si>
  <si>
    <t>Mazdoor I st class</t>
  </si>
  <si>
    <t>Mazdoor II nd class</t>
  </si>
  <si>
    <t>stone cutter II nd class</t>
  </si>
  <si>
    <t>m3</t>
  </si>
  <si>
    <t>M.Sand filling (fine sand for pointing)</t>
  </si>
  <si>
    <t>hire charges for hammering machine</t>
  </si>
  <si>
    <t>Rate for 10 Sq.m</t>
  </si>
  <si>
    <t>Rate for 1 Sq.m</t>
  </si>
  <si>
    <t>Stair entrance</t>
  </si>
  <si>
    <t xml:space="preserve">Staircase 1  </t>
  </si>
  <si>
    <t xml:space="preserve">Staircase 2  </t>
  </si>
  <si>
    <t xml:space="preserve">Staircase 1 </t>
  </si>
  <si>
    <t>Wash area ladder</t>
  </si>
  <si>
    <t>Stringer L-100x100x10mm</t>
  </si>
  <si>
    <t>Step-MS flat bar 75x10mm</t>
  </si>
  <si>
    <t>kg/m</t>
  </si>
  <si>
    <t>L(m)</t>
  </si>
  <si>
    <t>Hanrail-40mm dia pipe</t>
  </si>
  <si>
    <t>End flat bar 100x10mm</t>
  </si>
  <si>
    <t>OHT ladder</t>
  </si>
  <si>
    <t>Staircase at lift machine room</t>
  </si>
  <si>
    <t>Wash area</t>
  </si>
  <si>
    <t>Water Proofing Compound</t>
  </si>
  <si>
    <t xml:space="preserve">OHT  </t>
  </si>
  <si>
    <t>Septic tank</t>
  </si>
  <si>
    <t>Gate (Double Leaf)</t>
  </si>
  <si>
    <t>Kg/m</t>
  </si>
  <si>
    <t>Outer frame RHS 100x50x3mm</t>
  </si>
  <si>
    <t>Internal RHS 50x25x2mm</t>
  </si>
  <si>
    <t>10mm wall plate</t>
  </si>
  <si>
    <t>kgs</t>
  </si>
  <si>
    <t>Duct covering</t>
  </si>
  <si>
    <t>Frame SHS 50x50x3mm</t>
  </si>
  <si>
    <t>Hydraulic Pressed rubber moulded paver block of 83 mm</t>
  </si>
  <si>
    <t>18 (a)</t>
  </si>
  <si>
    <t>Warden room-Twin sharing</t>
  </si>
  <si>
    <t>Sick room-Twin sharing</t>
  </si>
  <si>
    <t>1st, 2nd &amp; 3rd Floor</t>
  </si>
  <si>
    <t xml:space="preserve">Twin sharing-1 </t>
  </si>
  <si>
    <t xml:space="preserve">Twin sharing-2 </t>
  </si>
  <si>
    <t xml:space="preserve">Twin sharing-3 </t>
  </si>
  <si>
    <t xml:space="preserve">Twin sharing-4 </t>
  </si>
  <si>
    <t xml:space="preserve">Twin sharing-5 </t>
  </si>
  <si>
    <t>Dorm sharing-1</t>
  </si>
  <si>
    <t>Dorm sharing-2</t>
  </si>
  <si>
    <t>Dorm sharing-3</t>
  </si>
  <si>
    <t>Dorm sharing-4</t>
  </si>
  <si>
    <t>Dorm sharing-5</t>
  </si>
  <si>
    <t>Dorm sharing-6</t>
  </si>
  <si>
    <t>Dorm sharing-7</t>
  </si>
  <si>
    <t>Dorm sharing-8</t>
  </si>
  <si>
    <t>Creche room</t>
  </si>
  <si>
    <t>Dining hall</t>
  </si>
  <si>
    <t>Sub Total</t>
  </si>
  <si>
    <t>Security room</t>
  </si>
  <si>
    <t>1st floor</t>
  </si>
  <si>
    <t>2nd floor &amp; 3rd floor</t>
  </si>
  <si>
    <t>FF-Terrace</t>
  </si>
  <si>
    <t>Open Terrace</t>
  </si>
  <si>
    <t>Security Cabin</t>
  </si>
  <si>
    <t>Tranformer Yard</t>
  </si>
  <si>
    <t>U.G Sump</t>
  </si>
  <si>
    <t>Septic Tank</t>
  </si>
  <si>
    <t>Cabin 1,2</t>
  </si>
  <si>
    <t>Security Room</t>
  </si>
  <si>
    <t>Tranformeryard</t>
  </si>
  <si>
    <t>Tranformer yard</t>
  </si>
  <si>
    <t>UG Sump Raft</t>
  </si>
  <si>
    <t>Septic Tank Raft</t>
  </si>
  <si>
    <t xml:space="preserve">Longer Side </t>
  </si>
  <si>
    <t>Shorter Side</t>
  </si>
  <si>
    <t>UG Sump RC  Wall</t>
  </si>
  <si>
    <t>Toilet Slab</t>
  </si>
  <si>
    <t xml:space="preserve">Security Room </t>
  </si>
  <si>
    <t>D/t manhole</t>
  </si>
  <si>
    <t>Septic Tank Slab</t>
  </si>
  <si>
    <t>Security Room Lintel Beam</t>
  </si>
  <si>
    <t>Sunshade W3</t>
  </si>
  <si>
    <t>Sunshade -Door Entrance</t>
  </si>
  <si>
    <t>Front Side Horizontal</t>
  </si>
  <si>
    <t>First to Third Vertical</t>
  </si>
  <si>
    <t>Projection Horizontal</t>
  </si>
  <si>
    <t>Lift Machine room</t>
  </si>
  <si>
    <t>ST-1,2</t>
  </si>
  <si>
    <t>Lift Floor Slab</t>
  </si>
  <si>
    <t>Staircase Entrance</t>
  </si>
  <si>
    <t>Earthwork open excavation for Foundation</t>
  </si>
  <si>
    <t xml:space="preserve">DG Bed </t>
  </si>
  <si>
    <t xml:space="preserve">North Side </t>
  </si>
  <si>
    <t>South Side</t>
  </si>
  <si>
    <t>East Side</t>
  </si>
  <si>
    <t>West Side</t>
  </si>
  <si>
    <t>Provisional Qty for Building</t>
  </si>
  <si>
    <t>Earthwork open excavation</t>
  </si>
  <si>
    <t>DG Bed</t>
  </si>
  <si>
    <t>Steps Entrance</t>
  </si>
  <si>
    <t>UG Sump  Slab</t>
  </si>
  <si>
    <t>First Floor Beam</t>
  </si>
  <si>
    <t xml:space="preserve">Security Roof Beam </t>
  </si>
  <si>
    <t>Transformer Foundation</t>
  </si>
  <si>
    <t>OHT Tank Base</t>
  </si>
  <si>
    <t>Cover Slab</t>
  </si>
  <si>
    <t>DG Foundation</t>
  </si>
  <si>
    <t>Courtyard Planter Box</t>
  </si>
  <si>
    <t>Parapet Wall</t>
  </si>
  <si>
    <t>Tranformer External Plastering</t>
  </si>
  <si>
    <t>All Round Outer Side</t>
  </si>
  <si>
    <t>Top Surface</t>
  </si>
  <si>
    <t>Raft Bottom</t>
  </si>
  <si>
    <t>Se.Tank Plastering Inner</t>
  </si>
  <si>
    <t>OHT Outer Plastering</t>
  </si>
  <si>
    <t>D.G External Plastering</t>
  </si>
  <si>
    <t>All round - Outer side</t>
  </si>
  <si>
    <t>Top surface</t>
  </si>
  <si>
    <t>Security Toilet</t>
  </si>
  <si>
    <t>Planter Box</t>
  </si>
  <si>
    <t>OHT RC Wall</t>
  </si>
  <si>
    <t xml:space="preserve">Building </t>
  </si>
  <si>
    <t>Sump, Septic tank, DG, Transformer yard</t>
  </si>
  <si>
    <t>Sump, Septic tank</t>
  </si>
  <si>
    <t>3 to 4m depth.</t>
  </si>
  <si>
    <t>4 to 5m depth.</t>
  </si>
  <si>
    <r>
      <t xml:space="preserve">Earth work </t>
    </r>
    <r>
      <rPr>
        <b/>
        <sz val="14"/>
        <color theme="1"/>
        <rFont val="Verdana"/>
        <family val="2"/>
      </rPr>
      <t>excavation / open excavation</t>
    </r>
    <r>
      <rPr>
        <sz val="14"/>
        <color theme="1"/>
        <rFont val="Verdana"/>
        <family val="2"/>
      </rPr>
      <t xml:space="preserve"> for foundation in all type of soils and sub soils to the required depth as directed including dense soil, disintegrated/weathered/soft rock not requiring blasting for Footings, Pile caps, Lift pits, etc... by mechanical means including manual excavation for levelling, dressing of sides and ramming of bottom with all leads and lifts, shoring, strutting and baling out water wherever necessary etc., as complete with all respects complying with relevant standard specification and as directed by the departmental officers.</t>
    </r>
  </si>
  <si>
    <t>GF all aound</t>
  </si>
  <si>
    <t>Sptic Tank Slab</t>
  </si>
  <si>
    <t>Septic Tank RC Wall</t>
  </si>
  <si>
    <t>Septic Tank Shear Wall</t>
  </si>
  <si>
    <t>ROAD WORKS</t>
  </si>
  <si>
    <t xml:space="preserve">Courtyard </t>
  </si>
  <si>
    <t>Physically challanged car parking 1,2</t>
  </si>
  <si>
    <t xml:space="preserve">South Side </t>
  </si>
  <si>
    <t>North Side</t>
  </si>
  <si>
    <t>Subgrade</t>
  </si>
  <si>
    <t>Sand Filling</t>
  </si>
  <si>
    <t>P.C.C</t>
  </si>
  <si>
    <t>Paver block - 63mm thick</t>
  </si>
  <si>
    <t>Kerb stone</t>
  </si>
  <si>
    <t>RM</t>
  </si>
  <si>
    <t>Preparation of sub-grade and compacting with vibratory roller having minimum 8 - 10 ton vibratory power roller static weight to achieve desired density of not less than 98% of MDD including forming camber and gradients watering and rolling to reach required density complete, including all material, labour, watering, machinery with all leads and lifts etc. as complete with all respects complying with relevant standard specification as directed by the departmental officers.</t>
  </si>
  <si>
    <t>Providing of Granular Sub base using Grade I materials of table 400 -1 of Morth with minimum CBR 30 spreading in uniform layers with motor grader on prepared surface, mix in by palce method at OMC and compacting with Vibratory Roller to achieve the desired density including all labourcharges etc, complete as per technical specification and as directed by the departmental officers. Morth - Rev V No. 111,112,401,900</t>
  </si>
  <si>
    <t>Road Works</t>
  </si>
  <si>
    <t>Granite Planter Box</t>
  </si>
  <si>
    <t>Security Lintel Beam</t>
  </si>
  <si>
    <t>Security Sunshade W3</t>
  </si>
  <si>
    <t xml:space="preserve"> Sunshade -Door Entrance</t>
  </si>
  <si>
    <t>Inner Wall</t>
  </si>
  <si>
    <t>Security cabin</t>
  </si>
  <si>
    <r>
      <t xml:space="preserve">Supply installation and finishing of the </t>
    </r>
    <r>
      <rPr>
        <b/>
        <sz val="14"/>
        <rFont val="Verdana"/>
        <family val="2"/>
      </rPr>
      <t>Terrace floor</t>
    </r>
    <r>
      <rPr>
        <sz val="14"/>
        <rFont val="Verdana"/>
        <family val="2"/>
      </rPr>
      <t xml:space="preserve"> with one course of Thermatek tiles of size 300x300x19mm laid on top. Cost of Thermotech tiles set in 20mm thick C.M.1:4 and pointing with approved make epoxy grout of to matching colour shade as per Manufacturer's Specification and as directed. Rate shall include wastages, for preparation of base surface, cleaning, acid wash, and finished surface, at all levels and as directed. Rate shall be inclusive of wastages,  cost of all materials, labour charges for lifting to open terrace, laying and finishing and other incidental charges etc., complete and as directed by the departmental officers. (The Brand and quality of tiles should be got approved from the Executive Engineer before using)</t>
    </r>
  </si>
  <si>
    <r>
      <rPr>
        <b/>
        <sz val="14"/>
        <color theme="1"/>
        <rFont val="Verdana"/>
        <family val="2"/>
      </rPr>
      <t>STRUCTURAL STEEL WORKS:</t>
    </r>
    <r>
      <rPr>
        <sz val="14"/>
        <color theme="1"/>
        <rFont val="Verdana"/>
        <family val="2"/>
      </rPr>
      <t xml:space="preserve">
Supplying fabricating, hoisting, erecting and fixing in position Mild steel structural steel works Gate for compound wall and grill at all elevations, levels and heights including aligning, levelling, providing and fixing bolts, nuts, washers, comprising MS plates, flats, squares etc., of various sizes and other structural steel sections conforming to latest IS2062 Grade - A&amp;B including straightening, cutting, welding, bending to shape, bolting and inclusive of the following finishes. Rate to including all materials, labour changes, scaffolding, stagging,  transportation, lead &amp; Lifts, wastage, etc. as complete with all respects complying with relevant standard specification, as directed by the   departmental officers.</t>
    </r>
  </si>
  <si>
    <t>Security room Toilet</t>
  </si>
  <si>
    <t>Terrace Side wall</t>
  </si>
  <si>
    <t>Skirting</t>
  </si>
  <si>
    <t>Staircase -1 &amp; lift head room</t>
  </si>
  <si>
    <t>For every additional floor (Terrace floor)</t>
  </si>
  <si>
    <t>GSB 2 Layer - 150mm thick</t>
  </si>
  <si>
    <t>Drive way</t>
  </si>
  <si>
    <t>Entry gate</t>
  </si>
  <si>
    <r>
      <t xml:space="preserve">Supply &amp; Fixing of Aluminium Glazed Door Single Leaf with Glass infill of 12mm thk toughened glass with Dormakaba Alterra lite System-100mm frames Stiles all around the door. Aluminium Stile to be formed out of 100x45mm of Alterra STP100 Door Profile frame with clips &amp; seals. For doors part of single/double glazed partiton DP100-SG/DG Door rebate profile to be used.In case of Glass overall panel Alterra lite OHPDP100-SD/DG Over Panel Door profile to be used.The Alterra lite profiles shall be suitable for Glass thickness of 12mm. The Profile shall be matt natural anodized, the Profile Manufacturer to supply all the necessary clips, seals and fixing accessories for the system. All Profiles to be with 2 mm Gauge thickness Excluding 20 Micron of Anodizing.
Approved Manufacturer: Profiles/Frames: 
Dormakaba, Glass : Saint Giobain/Asahi
Width 1000mm x Height 2400mm.                     </t>
    </r>
    <r>
      <rPr>
        <b/>
        <sz val="14"/>
        <rFont val="Verdana"/>
        <family val="2"/>
      </rPr>
      <t>NOTE: Hardware will be measured seperately and paid under relevant BOQ items.</t>
    </r>
  </si>
  <si>
    <t>HGS SS.20.B. Earth work excavating</t>
  </si>
  <si>
    <t>Page No 22 / Sch item no.62</t>
  </si>
  <si>
    <t>Earth work open well excavation clauses of T.N.D.S.S</t>
  </si>
  <si>
    <t>Page No 23 / Sch item no.88</t>
  </si>
  <si>
    <t>Extra for every additional 1 metre lift or part thereof over
the initial lift</t>
  </si>
  <si>
    <t>Page No 23 / Sch item no.77</t>
  </si>
  <si>
    <t>Open Well Excavation</t>
  </si>
  <si>
    <t>Open well Excavation clauses of T.N.D.S.S (Page No 23 / Sch item no.88)</t>
  </si>
  <si>
    <t>3.00 - 4.00 m Depth</t>
  </si>
  <si>
    <t>Rate for initial lift upto 3.00 m depth</t>
  </si>
  <si>
    <t>Rate for initial lift upto 4.00 m depth</t>
  </si>
  <si>
    <t>Highways Department</t>
  </si>
  <si>
    <t>90mm</t>
  </si>
  <si>
    <t>Annexure - II of Highways SOR 21-22</t>
  </si>
  <si>
    <t>75mm</t>
  </si>
  <si>
    <t>63mm</t>
  </si>
  <si>
    <t>53mm</t>
  </si>
  <si>
    <t>46.50mm</t>
  </si>
  <si>
    <t>45mm</t>
  </si>
  <si>
    <t>37.50mm</t>
  </si>
  <si>
    <t>26.50mm</t>
  </si>
  <si>
    <t>25mm</t>
  </si>
  <si>
    <t>22.40mm</t>
  </si>
  <si>
    <t>13.20mm</t>
  </si>
  <si>
    <t>11.20mm</t>
  </si>
  <si>
    <t>6.70mm</t>
  </si>
  <si>
    <t>6mm</t>
  </si>
  <si>
    <t>5.60mm</t>
  </si>
  <si>
    <t>4.75mm &amp; Below</t>
  </si>
  <si>
    <t>2.36 mm</t>
  </si>
  <si>
    <t>4.00 - 5.00 m Depth</t>
  </si>
  <si>
    <t>Add 10% for labour</t>
  </si>
  <si>
    <t>Cement for slurry</t>
  </si>
  <si>
    <t>Painter-II</t>
  </si>
  <si>
    <t>SUNDRIES( for Admixture)</t>
  </si>
  <si>
    <t>Total for 10Sqm</t>
  </si>
  <si>
    <t>Add 10% of labour</t>
  </si>
  <si>
    <t>D1 (1000x2150mm)</t>
  </si>
  <si>
    <t>D2 (900x2150mm)</t>
  </si>
  <si>
    <t>D3 (1000x2150mm)</t>
  </si>
  <si>
    <t>D4 (1000x2150mm)</t>
  </si>
  <si>
    <t>D5 (900x2150mm)</t>
  </si>
  <si>
    <t>D6 (750x2150mm)</t>
  </si>
  <si>
    <t>Size 1500x1200mm</t>
  </si>
  <si>
    <t>Size 1200x1200mm</t>
  </si>
  <si>
    <t>Size:1500x2100mm</t>
  </si>
  <si>
    <t>Size:900x2100mm</t>
  </si>
  <si>
    <t>Size 1500x750mm</t>
  </si>
  <si>
    <t>Size 1200x900mm</t>
  </si>
  <si>
    <t>Size 1500x1950mm</t>
  </si>
  <si>
    <t>Size 2150x1200mm</t>
  </si>
  <si>
    <t>Size 2150x900mm</t>
  </si>
  <si>
    <t>Total amount</t>
  </si>
  <si>
    <t>Total area for above window size</t>
  </si>
  <si>
    <t>Rate / sqm</t>
  </si>
  <si>
    <t>Size of tiles shall be 600 X 600 X 8 mm -
Double charged vitrified tiles - Polished / Matt</t>
  </si>
  <si>
    <t>SQM</t>
  </si>
  <si>
    <t xml:space="preserve">Size of tiles shall be 600x600x8mm </t>
  </si>
  <si>
    <t xml:space="preserve">Cement </t>
  </si>
  <si>
    <t>Grout joint filler</t>
  </si>
  <si>
    <t>For protecting and with Gypsum / POP layer  over  Plastic sheet including cleaning etc</t>
  </si>
  <si>
    <t>Double Charged Vitrified Tiles 600 x 600 x 8mm</t>
  </si>
  <si>
    <t>Cost of Tiles (Page 35/ item 15)</t>
  </si>
  <si>
    <t xml:space="preserve">Cement mortar (1:3) </t>
  </si>
  <si>
    <t>Coloured cement</t>
  </si>
  <si>
    <t>Rate per Rmt</t>
  </si>
  <si>
    <r>
      <t>m</t>
    </r>
    <r>
      <rPr>
        <vertAlign val="superscript"/>
        <sz val="14"/>
        <rFont val="Verdana"/>
        <family val="2"/>
      </rPr>
      <t xml:space="preserve"> 3</t>
    </r>
  </si>
  <si>
    <r>
      <t>Total for 100m</t>
    </r>
    <r>
      <rPr>
        <vertAlign val="superscript"/>
        <sz val="14"/>
        <rFont val="Verdana"/>
        <family val="2"/>
      </rPr>
      <t xml:space="preserve"> 2</t>
    </r>
  </si>
  <si>
    <t>Sub Data</t>
  </si>
  <si>
    <t>Mazdoor I class (Highy way Page 12, Sch 39A)</t>
  </si>
  <si>
    <t>Labour charges for 100 sqm</t>
  </si>
  <si>
    <t>Labour charges for 10 sqm</t>
  </si>
  <si>
    <t>Labour charges for 1 sqm</t>
  </si>
  <si>
    <t>Hire charges for power roller</t>
  </si>
  <si>
    <t>Day</t>
  </si>
  <si>
    <t>Hire charges for power Roller</t>
  </si>
  <si>
    <t>Litres</t>
  </si>
  <si>
    <t>Fuel Charges (2.50 X 8 )</t>
  </si>
  <si>
    <t>Per Litre</t>
  </si>
  <si>
    <t>Out turn/day 950 sq.m of 100mm thick</t>
  </si>
  <si>
    <t>95 cum</t>
  </si>
  <si>
    <t>Water sprinkler:</t>
  </si>
  <si>
    <t>Water sprinkler excluding fuel charges</t>
  </si>
  <si>
    <t>Fuel Charges (3.25 X 8 )</t>
  </si>
  <si>
    <t>Hire charges for machineries per M3                              (Out turn/day=1000 sqm)   Hire charges for 10 M2</t>
  </si>
  <si>
    <t xml:space="preserve">Total </t>
  </si>
  <si>
    <t>Sub Data - 53 - 22.40mm</t>
  </si>
  <si>
    <t>53mm Metal</t>
  </si>
  <si>
    <t>46.50mm Metal</t>
  </si>
  <si>
    <t>45mm Metal</t>
  </si>
  <si>
    <t>37.50mm Metal</t>
  </si>
  <si>
    <t>26.50mm Metal</t>
  </si>
  <si>
    <t>25mm Metal</t>
  </si>
  <si>
    <t>22.40mm Metal</t>
  </si>
  <si>
    <t>Sub Data - 22.40mm - 4.75mm</t>
  </si>
  <si>
    <t>13.20mm Metal</t>
  </si>
  <si>
    <t>11.20mm Metal</t>
  </si>
  <si>
    <t>6.70mm Metal</t>
  </si>
  <si>
    <t>6.00mm Metal</t>
  </si>
  <si>
    <t>5.60mm Metal</t>
  </si>
  <si>
    <t>4.75mm Metal</t>
  </si>
  <si>
    <t>Hire Charges for Machineries - 100cum</t>
  </si>
  <si>
    <t>day</t>
  </si>
  <si>
    <t>lit</t>
  </si>
  <si>
    <t>Fuel charges 80lit of Disel</t>
  </si>
  <si>
    <t>For One Day</t>
  </si>
  <si>
    <t>For One Hour</t>
  </si>
  <si>
    <t>Lit</t>
  </si>
  <si>
    <t>Fuel charges 3.25Lit/Hour</t>
  </si>
  <si>
    <t>Fuel charges 25Lit/day</t>
  </si>
  <si>
    <t>Fuel charges 3Lit / Hour</t>
  </si>
  <si>
    <t>Hour</t>
  </si>
  <si>
    <t>Hire Charges for Machineries - 300cum</t>
  </si>
  <si>
    <t>Tipper Trucks:</t>
  </si>
  <si>
    <t>Water tanker</t>
  </si>
  <si>
    <t>Motor grader</t>
  </si>
  <si>
    <t>Vibratory Roller</t>
  </si>
  <si>
    <t>For 300 cum</t>
  </si>
  <si>
    <t>For 1 cum</t>
  </si>
  <si>
    <t>Labour Charges for 300 cum</t>
  </si>
  <si>
    <t>Total for 300 cum</t>
  </si>
  <si>
    <t>Main Data - 300 cum</t>
  </si>
  <si>
    <t xml:space="preserve">53 - 22.40mm Metal </t>
  </si>
  <si>
    <t xml:space="preserve">22.40 - 4.75mm Metal </t>
  </si>
  <si>
    <t>4.75mm below</t>
  </si>
  <si>
    <t>KL</t>
  </si>
  <si>
    <t>Water</t>
  </si>
  <si>
    <t>Hire Charges</t>
  </si>
  <si>
    <t>Labour Charges</t>
  </si>
  <si>
    <t>Hydraulic Pressed rubber moulded paver block of 63 mm ( SOR 2022-23 Pg.No.35 / 18 b)</t>
  </si>
  <si>
    <t>Loader 5cum capacity SOR Page:165</t>
  </si>
  <si>
    <t>Hire Charges for Tipper / Day SOR Page:165</t>
  </si>
  <si>
    <t>Hire charges for Water Tanker SOR Page:165</t>
  </si>
  <si>
    <t>Hire Charges for Vibratiry Roller/day SOR Page:165</t>
  </si>
  <si>
    <t>Motor grader including fuel/ Hour SOR Page:165</t>
  </si>
  <si>
    <t>Base mix plant ( pug mill ) Hire charges including Fuel SOR Page:165</t>
  </si>
  <si>
    <t>Head Mazdoor SOR Page:12, Sch - 39A</t>
  </si>
  <si>
    <t>Mazdoor I class SOR Page:12, Sch - 39A</t>
  </si>
  <si>
    <t>Mazdoor II class SOR Page:12, Sch - 39B</t>
  </si>
  <si>
    <t>J</t>
  </si>
  <si>
    <r>
      <t xml:space="preserve">Providing </t>
    </r>
    <r>
      <rPr>
        <b/>
        <sz val="12"/>
        <color theme="1"/>
        <rFont val="Tahoma"/>
        <family val="2"/>
      </rPr>
      <t>Plinth protection</t>
    </r>
    <r>
      <rPr>
        <sz val="12"/>
        <color theme="1"/>
        <rFont val="Tahoma"/>
        <family val="2"/>
      </rPr>
      <t xml:space="preserve"> with PCC 1:3:6 (1cement, 3 fine aggregate and 6 coarse aggregate) 50mm thick using coarse graded aggregate of 20 mm and downsize, top finished smooth while wet and laid with a nominal slope,  over  a  sand   bed   of 75 mm thick including necessary excavation wherever, necessary form work etc . The end slab shall have 115 mm thick brick retaining walls with CM 1:4 (one cement and four fine aggregate) at the edge 300 mm high.  The exposed faces of wall shall be plastered with cement mortar 1:5 - 15 mm thick. The effective separation of panels not exceeding 10 sqm in plan by making grooves or by using glass or other metals strips etc.and also including for providing necessary form work, excavation, refilling, consolidation  and  compaction of  filled   earth, plastering, pointing, curing and reinforcement as complete in all respects complying with relevant standard specification and as directed by the Engineer-in-charge.</t>
    </r>
  </si>
  <si>
    <t>K</t>
  </si>
  <si>
    <r>
      <t xml:space="preserve">Providing and fixing vacuum wet press concrete </t>
    </r>
    <r>
      <rPr>
        <b/>
        <sz val="12"/>
        <color theme="1"/>
        <rFont val="Tahoma"/>
        <family val="2"/>
      </rPr>
      <t>precast Splay kerb</t>
    </r>
    <r>
      <rPr>
        <sz val="12"/>
        <color theme="1"/>
        <rFont val="Tahoma"/>
        <family val="2"/>
      </rPr>
      <t xml:space="preserve"> to shape by using reinforced cement concrete M20 grade road kerbs of size 150X375X600 mm made to shape using 20 mm down size Coarse graded Basalt aggregate including form work and nominal reinforcement of Fe 415 grade, 12 mm dia at 150 c/c with 8 mm dia stirrups at 150 mm c/c fixing in cement concrete 1:3:6 nominal mix (one cement, three sand and six hard stone jelly) including all materials and labour components, laying, finishing, curing and the pointing exposed faces with C.M 1:3 (one cement and three fine sand) and colour washing with acrylic emulsion over a coat of primer etc. as complete with all respects complying with relevant standard specification as directed by the departmental officers.</t>
    </r>
  </si>
  <si>
    <t>L</t>
  </si>
  <si>
    <r>
      <t>Supply installation and finishing of the</t>
    </r>
    <r>
      <rPr>
        <b/>
        <sz val="12"/>
        <color theme="1"/>
        <rFont val="Tahoma"/>
        <family val="2"/>
      </rPr>
      <t xml:space="preserve"> Terrace floor with one course of Thermotech tiles of size 300x300x19mm laid on top</t>
    </r>
    <r>
      <rPr>
        <sz val="12"/>
        <color theme="1"/>
        <rFont val="Tahoma"/>
        <family val="2"/>
      </rPr>
      <t>. Cost of Thermotech tiles set in 20mm thick C.M.1:4 and pointing with approved make epoxy grout of to matching colour shade as per Manufacturer's Specification and as directed. Rate shall include wastages, for preparation of base surface, cleaning, acid wash, and finished surface, at all levels and as directed. Rate shall be inclusive of wastages,  cost of all materials, labour charges for lifting to open terrace, laying and finishing and other incidental charges etc., complete and as directed by the departmental officers. (The Brand and quality of tiles should be got approved from the Executive Engineer before using)</t>
    </r>
  </si>
  <si>
    <t>Terrace Tile</t>
  </si>
  <si>
    <t xml:space="preserve">Entrance Gate </t>
  </si>
  <si>
    <t>Mirror</t>
  </si>
  <si>
    <t>as same as Ground Floor Staircase</t>
  </si>
  <si>
    <t>Kg/sqm</t>
  </si>
  <si>
    <t>3mm thk chequered plate</t>
  </si>
  <si>
    <t>F2a</t>
  </si>
  <si>
    <t>F6</t>
  </si>
  <si>
    <t>Entrance - West</t>
  </si>
  <si>
    <t>Column below GFL</t>
  </si>
  <si>
    <t>Less column</t>
  </si>
  <si>
    <t>Avg.ht</t>
  </si>
  <si>
    <t>1.2m wide corridor</t>
  </si>
  <si>
    <t>1.0m wide corridor</t>
  </si>
  <si>
    <t xml:space="preserve">Loundromat </t>
  </si>
  <si>
    <t>Tread GF to FF</t>
  </si>
  <si>
    <t>Tread FF to terrace</t>
  </si>
  <si>
    <t>Riser GF to FF</t>
  </si>
  <si>
    <t>Riser FF to terrace</t>
  </si>
  <si>
    <t>Com.Both</t>
  </si>
  <si>
    <t>d/t D5</t>
  </si>
  <si>
    <t>FF to Terrace</t>
  </si>
  <si>
    <t>FF front wall</t>
  </si>
  <si>
    <t>jaali wall</t>
  </si>
  <si>
    <t>Inside</t>
  </si>
  <si>
    <t xml:space="preserve">Top </t>
  </si>
  <si>
    <t>L.S</t>
  </si>
  <si>
    <t>Main Gate (Double Leaf)</t>
  </si>
  <si>
    <r>
      <t>Providing and constructing</t>
    </r>
    <r>
      <rPr>
        <b/>
        <sz val="14"/>
        <rFont val="Verdana"/>
        <family val="2"/>
      </rPr>
      <t xml:space="preserve"> Autoclaved Aerated Concrete block masonry</t>
    </r>
    <r>
      <rPr>
        <sz val="14"/>
        <rFont val="Verdana"/>
        <family val="2"/>
      </rPr>
      <t xml:space="preserve"> work using standard size of AAC blocks. Blocks manufactured under strict quality control conditions confirming to IS standards only shall be us</t>
    </r>
  </si>
  <si>
    <t>PARTITION WALL OF 115 mm thick</t>
  </si>
  <si>
    <t xml:space="preserve"> Kg</t>
  </si>
  <si>
    <t>50mm thick</t>
  </si>
  <si>
    <t>GF landing</t>
  </si>
  <si>
    <t>Toilet above tile area</t>
  </si>
  <si>
    <t>Twin sharing-2</t>
  </si>
  <si>
    <t>Twin sharing-3</t>
  </si>
  <si>
    <t xml:space="preserve">PROPOSED WORKING WOMEN'S HOSTELS,
ST THOMASMOUNT ,CHENNAI </t>
  </si>
  <si>
    <r>
      <t xml:space="preserve">Broken stone jelly </t>
    </r>
    <r>
      <rPr>
        <b/>
        <sz val="14"/>
        <rFont val="Verdana"/>
        <family val="2"/>
      </rPr>
      <t xml:space="preserve">40mm </t>
    </r>
  </si>
  <si>
    <r>
      <t>m</t>
    </r>
    <r>
      <rPr>
        <vertAlign val="superscript"/>
        <sz val="14"/>
        <rFont val="Verdana"/>
        <family val="2"/>
      </rPr>
      <t>3</t>
    </r>
  </si>
  <si>
    <r>
      <t>Broken stone jelly</t>
    </r>
    <r>
      <rPr>
        <b/>
        <sz val="14"/>
        <rFont val="Verdana"/>
        <family val="2"/>
      </rPr>
      <t xml:space="preserve"> 20mm </t>
    </r>
  </si>
  <si>
    <r>
      <t>Rate for 10 m</t>
    </r>
    <r>
      <rPr>
        <vertAlign val="superscript"/>
        <sz val="14"/>
        <rFont val="Verdana"/>
        <family val="2"/>
      </rPr>
      <t>3</t>
    </r>
  </si>
  <si>
    <r>
      <t>Rate  for 1 m</t>
    </r>
    <r>
      <rPr>
        <b/>
        <vertAlign val="superscript"/>
        <sz val="14"/>
        <rFont val="Verdana"/>
        <family val="2"/>
      </rPr>
      <t>3</t>
    </r>
  </si>
  <si>
    <r>
      <t>m</t>
    </r>
    <r>
      <rPr>
        <vertAlign val="superscript"/>
        <sz val="12"/>
        <rFont val="Verdana"/>
        <family val="2"/>
      </rPr>
      <t>3</t>
    </r>
  </si>
  <si>
    <r>
      <t>Total for 100 sqft or 9.29 sqm or  0.944 M</t>
    </r>
    <r>
      <rPr>
        <vertAlign val="superscript"/>
        <sz val="14"/>
        <rFont val="Verdana"/>
        <family val="2"/>
      </rPr>
      <t>3</t>
    </r>
  </si>
  <si>
    <r>
      <t>Total for 100 sqft or 9.29 sqm or  1.42 M</t>
    </r>
    <r>
      <rPr>
        <vertAlign val="superscript"/>
        <sz val="14"/>
        <rFont val="Verdana"/>
        <family val="2"/>
      </rPr>
      <t>3</t>
    </r>
  </si>
  <si>
    <r>
      <t>M</t>
    </r>
    <r>
      <rPr>
        <vertAlign val="superscript"/>
        <sz val="14"/>
        <rFont val="Verdana"/>
        <family val="2"/>
      </rPr>
      <t>3</t>
    </r>
  </si>
  <si>
    <r>
      <t>M</t>
    </r>
    <r>
      <rPr>
        <b/>
        <vertAlign val="superscript"/>
        <sz val="14"/>
        <rFont val="Verdana"/>
        <family val="2"/>
      </rPr>
      <t>3</t>
    </r>
  </si>
  <si>
    <r>
      <t>Rate for 1 M</t>
    </r>
    <r>
      <rPr>
        <b/>
        <vertAlign val="superscript"/>
        <sz val="14"/>
        <rFont val="Verdana"/>
        <family val="2"/>
      </rPr>
      <t>3</t>
    </r>
  </si>
  <si>
    <r>
      <t>Rate for 1 M</t>
    </r>
    <r>
      <rPr>
        <b/>
        <vertAlign val="superscript"/>
        <sz val="14"/>
        <rFont val="Verdana"/>
        <family val="2"/>
      </rPr>
      <t>2</t>
    </r>
  </si>
  <si>
    <r>
      <t>Total for 10 m</t>
    </r>
    <r>
      <rPr>
        <vertAlign val="superscript"/>
        <sz val="14"/>
        <rFont val="Verdana"/>
        <family val="2"/>
      </rPr>
      <t>3</t>
    </r>
  </si>
  <si>
    <r>
      <t>For 50mm thick -for an area of 10 m</t>
    </r>
    <r>
      <rPr>
        <b/>
        <vertAlign val="superscript"/>
        <sz val="14"/>
        <rFont val="Verdana"/>
        <family val="2"/>
      </rPr>
      <t xml:space="preserve"> 2</t>
    </r>
  </si>
  <si>
    <r>
      <t>10m</t>
    </r>
    <r>
      <rPr>
        <vertAlign val="superscript"/>
        <sz val="14"/>
        <rFont val="Verdana"/>
        <family val="2"/>
      </rPr>
      <t xml:space="preserve"> 3</t>
    </r>
  </si>
  <si>
    <r>
      <t>m</t>
    </r>
    <r>
      <rPr>
        <vertAlign val="superscript"/>
        <sz val="14"/>
        <rFont val="Verdana"/>
        <family val="2"/>
      </rPr>
      <t>2</t>
    </r>
  </si>
  <si>
    <r>
      <t xml:space="preserve">Total for 10 m </t>
    </r>
    <r>
      <rPr>
        <vertAlign val="superscript"/>
        <sz val="14"/>
        <rFont val="Verdana"/>
        <family val="2"/>
      </rPr>
      <t>2</t>
    </r>
  </si>
  <si>
    <r>
      <t xml:space="preserve">Rate for 1 m </t>
    </r>
    <r>
      <rPr>
        <b/>
        <i/>
        <vertAlign val="superscript"/>
        <sz val="14"/>
        <rFont val="Verdana"/>
        <family val="2"/>
      </rPr>
      <t>2</t>
    </r>
  </si>
  <si>
    <r>
      <t>Total for 10 m</t>
    </r>
    <r>
      <rPr>
        <vertAlign val="superscript"/>
        <sz val="14"/>
        <rFont val="Verdana"/>
        <family val="2"/>
      </rPr>
      <t>2</t>
    </r>
  </si>
  <si>
    <r>
      <t>Rate for 1 m</t>
    </r>
    <r>
      <rPr>
        <b/>
        <i/>
        <vertAlign val="superscript"/>
        <sz val="14"/>
        <rFont val="Verdana"/>
        <family val="2"/>
      </rPr>
      <t>2</t>
    </r>
  </si>
  <si>
    <r>
      <t>Details for 100M</t>
    </r>
    <r>
      <rPr>
        <b/>
        <vertAlign val="superscript"/>
        <sz val="14"/>
        <rFont val="Verdana"/>
        <family val="2"/>
      </rPr>
      <t>2</t>
    </r>
    <r>
      <rPr>
        <b/>
        <sz val="14"/>
        <rFont val="Verdana"/>
        <family val="2"/>
      </rPr>
      <t xml:space="preserve">  With three coats</t>
    </r>
  </si>
  <si>
    <r>
      <t>Rate for 100 m</t>
    </r>
    <r>
      <rPr>
        <vertAlign val="superscript"/>
        <sz val="14"/>
        <rFont val="Verdana"/>
        <family val="2"/>
      </rPr>
      <t>2</t>
    </r>
  </si>
  <si>
    <r>
      <t>Total for 10 m</t>
    </r>
    <r>
      <rPr>
        <vertAlign val="superscript"/>
        <sz val="14"/>
        <rFont val="Verdana"/>
        <family val="2"/>
      </rPr>
      <t xml:space="preserve"> 2</t>
    </r>
  </si>
  <si>
    <r>
      <t>Rate for 1 m</t>
    </r>
    <r>
      <rPr>
        <b/>
        <i/>
        <vertAlign val="superscript"/>
        <sz val="14"/>
        <rFont val="Verdana"/>
        <family val="2"/>
      </rPr>
      <t xml:space="preserve"> 2</t>
    </r>
  </si>
  <si>
    <t>Waist slab</t>
  </si>
  <si>
    <t>GF to terrace</t>
  </si>
  <si>
    <t>2nd, 3rd Floor</t>
  </si>
  <si>
    <t>Waist slab 1</t>
  </si>
  <si>
    <t>Waist slab 2</t>
  </si>
  <si>
    <t>ANNEXURE - 05</t>
  </si>
  <si>
    <t>Providing and constructing Autoclaved Aerated Concrete block masonry work in cement mortar 1:3 using standard size of AAC blocks. Blocks manufactured under strict quality control conditions confirming to IS standards only shall be us</t>
  </si>
  <si>
    <t>1st to 3rd</t>
  </si>
  <si>
    <t xml:space="preserve">Note: Rate to include for extra earthwork including authorized working space as per IS 1200 and provision of slopes, space for scaffolding, shuttering, shoring, strutting etc., Additional excavation if required for execution shall not be paid separately.  
The contractor shall keep the foundations dewatered and also arrange to drain them off by suitable drains and other means and keep the work place free from flooding / water logging and fit for carrying on the work unhindered. The contractor shall give a methodology of shoring, methodology of execution of excavation work and methodology for dewatering  for the approval of  departmental officers. (Only the PCC outer to outer dimension will be consider for the area of excavation and depth as per the actual ie depth till the bottom of M.Sand filling below the PCC as per drawing) </t>
  </si>
  <si>
    <t>Filling M.Sand</t>
  </si>
  <si>
    <t>Providing and laying Plain Cement Concrete 1:4:8 (1 of cement : 4 of M.Sand : 8 of hard broken stone jelly) using coarse graded aggregate of 40 mm for levelling course under footing, pile cap, steps, walls, raft, retaining wall, drains, kerb and median, platform etc. including all shuttering materials, labour charges, wastages , mixing, curing compaction, transportation,  necessary lead and lifts etc. as complete with all respects complying with relevant standard specification as per IS 456-2000 and as directed by the   departmental officers.</t>
  </si>
  <si>
    <t>Providing, supplying and laying of plain cement concrete using 1:3:6 (1 of Cement : 3 of M.Sand : 4 of Aggregate) grade of any thickness  having 20 mm down grade course graded aggregate including laying the screed with the top to the required line, level and alignment but finishing the top roughly to receive the final layer of flooring of any pattern and design ( Screed Concrete ) - Below Basement /  Raft / UG Sump / STP/ETP/Collection well etc., 
Rate including all materials, labour charges, wastages , mixing, transportation, lead &amp; Lifts, curing, compaction etc. as complete with all respects complying with relevant standard specification, as directed by the departmental officers.</t>
  </si>
  <si>
    <t>Supplying and fixing of Precast slab RCC 1:2:4 (1 of Cement : 2 of  M.Sand : 4 of Aggregate) for the following thickness using 20mm downgrade size hard broken stone jelly including the cost of molding with / without perforation of size as per drawing, labour charges, materials, finishing smooth on exposed surfaces, curing, transporting to the site, lead &amp; lifts fixing in position, etc complete but excluding the cost of steel reinforcement and cost of shuttering and as directed by the departmental officers.</t>
  </si>
  <si>
    <t>Providing Plinth protection with PCC 1:3:6 (1cement, 3 fine aggregate and 6 coarse aggregate) 50mm thick using coarse graded aggregate of 20 mm and downsize, top finished smooth while wet and laid with a nominal slope,  over  a  M.Sand   bed   of 75 mm thick including necessary excavation wherever, necessary form work etc . The end slab shall have 115 mm thick brick retaining walls with CM 1:4 (one cement and four fine aggregate) at the edge 300 mm high.  The exposed faces of wall shall be plastered with cement mortar 1:5 - 15 mm thick. The effective separation of panels not exceeding 10 sqm in plan by making grooves or by using glass or other metals strips etc.and also including for providing necessary form work, excavation, refilling, consolidation  and  compaction of  filled   earth, plastering, pointing, curing and reinforcement as complete in all respects complying with relevant standard specification and as directed by the Engineer-in-charge.</t>
  </si>
  <si>
    <t>Providing and constructing of 115 mm thick brick partition walls in Cement Mortar 1:3 (One Cement and Three M.Sand) using best quality Second Class Ground Moulded Chamber Burnt bricks of size 9" x 4 1/2"x 3" with hoop iron reinforcement if found necessary including curing etc., Complete complying with standard specifications and as directed by the departmental officers.</t>
  </si>
  <si>
    <r>
      <t xml:space="preserve">Providing and laying in panels not more than 20 sqm. in plan </t>
    </r>
    <r>
      <rPr>
        <b/>
        <sz val="14"/>
        <color theme="1"/>
        <rFont val="Verdana"/>
        <family val="2"/>
      </rPr>
      <t>Granolithic flooring</t>
    </r>
    <r>
      <rPr>
        <sz val="14"/>
        <color theme="1"/>
        <rFont val="Verdana"/>
        <family val="2"/>
      </rPr>
      <t xml:space="preserve"> with cement concrete 1:1.5:3 (1 of cement : 1.5 of M.Sand : 3 of stone aggregate) by using coarse graded aggregate of 6 to 12 mm size laid monolithic with floor concrete and finished smooth with power trowel including preparation of concrete surface and form work.  The screed shall be laid for effective separation of panels not exceeding 20 sqm in plan etc and Unevenness in floor finish shall not exceed +2mm in one square metre area. Including sprinkling  of Nitoflor Hardtop Standard evenly a shake on a ready mixed non-metallic monolithic floor hardening compound with very hard granulates of mineral origin over concrete floor when the concrete in green and touch dry condition at the rate of 5 Kgs/Sqm. Nitoflor Hardtop Standard shall possess a compressive strength of 50N/mm² as per IS: 516-1959, Moh's hardness not less than 8,  as per specification and instructions of the manufacturer.
</t>
    </r>
  </si>
  <si>
    <t>Supply and Laying 100 mm high skirting with best quality approved Kotah slab of thickness not less than 20 mm, machine cut and machine high pre-polished set in set in cement mortar 1:3(1 of Cement : 3 of M.sand) 12 mm thick . Rate  shall include for preparation of surface,  with tin-oxide / high gloss factory polish. 
Rate including wastages, filleting/ chamfering of the edges along with partial recessing of the skirting into masonry / gypsum wall, including chasing of wall with necessary grooves, preparation of surface, necessary hacking in RCC surface, cutting of tiles to required shape, edging, curing, cleaning, acid wash over finished surface, protection with Gypsum / Pop  layer  over  Plastic sheet and removing the same before handing over as complete with all respects complying with relevant standard specification and as directed by the departmental officers.</t>
  </si>
  <si>
    <t>Providing dadoing with machine cut polished best quality approved colour granite slab (Synthetic grey, Parasise colour) of thickness not less than 20mm of size 1200x600 / 900x600 mm, set in C.M 1:3 ( 1 of cement : 3 of M.sand ), thickness not less than 20 mm including pointing with matching colour of Latapoxy SP100 and fixing with stainless steel clamps 6mm dia. and 100 mm long welded with 40 mm and 25 mm long pieces at two ends to right angle, the former with horizontal position to be embedded in brick wall / concrete surface and the later with vertical position to be inserted and caulked in to the holes of the slab, drilled for the purpose, both forming 'T' shape and cement grouted including edge polishing wherever required and forming groove at joints as directed at all levels.</t>
  </si>
  <si>
    <t>Plastering of 12 mm thick for Internal walls with cement mortar 1:5 (1 of cement : 5 of P.sand)  according to specifications. Rate shall include for providing GI chicken mesh of nominal thickness at the junctions of masonry and concrete works to a width of 100 to 125mm including tying in position with suitable clamps/screw, necessary hacking in RCC surface, scaffolding, stagging, curing at all levels and elevations etc.as complete with all respects complying with relevant standard specification, as directed by the departmental officers.</t>
  </si>
  <si>
    <t>Plastering 15 mm thick for external surfaces with C.M1:5  (1 of cement : 5 of P.sand) including water proofing compound of “CICO No.1 or equivalent“ as per Manufacturer's Specification with sponge finish (washed sand finish) all complete as per specification and as directed.
The rate shall include for include for necessary hacking, staging, scaffolding and curing at all levels and elevations and for providing drip bands / moulds / grooves to any size and shape etc.. as complete with all respects complying with relevant standard specification, as directed by the departmental officers.</t>
  </si>
  <si>
    <t xml:space="preserve">Plastering 10 mm thick for ceiling including slabs, beams and column drops and staircase waist slab, sunshade, drops, chajjas, RC walls etc.. with Cement Mortar 1:3 (1 of cement : 3 of P.sand) according to the specification. 
The rate shall include necessary hacking, staging, scaffolding and curing at all levels etc...as complete with all respects complying with relevant standard specification, as directed by the departmental officers. </t>
  </si>
  <si>
    <t>Providing 12 mm thick water proof plaster in Toilet internal walls and over head tank with CM 1:3 (1 of cement : 3 of P.sand) with water proofing compound of CICO No:1 or equivalent as per manufacturer’s specification and roughening the surface in green condition with wire brush and clearing of loose particles with sponge  brush (washed sand finish). Rate including all materials, labour charges, wastages, necessary lead and lifts, working at all levels, transportation charges, loading, unloading, preparation of surface, necessary hacking in RCC surface, scaffolding, stagging, providing drip bands, moulds to any size and shape as shown in drawings tools and plants, fuel, curing,  cleaning, consumables etc as complete with all respects complying with relevant standard specification and as directed by the departmental officers.</t>
  </si>
  <si>
    <r>
      <t xml:space="preserve">Supplying and filling the </t>
    </r>
    <r>
      <rPr>
        <b/>
        <sz val="14"/>
        <color theme="1"/>
        <rFont val="Verdana"/>
        <family val="2"/>
      </rPr>
      <t>sunken slab  area by  BRICK-BATCOBA</t>
    </r>
    <r>
      <rPr>
        <sz val="14"/>
        <color theme="1"/>
        <rFont val="Verdana"/>
        <family val="2"/>
      </rPr>
      <t xml:space="preserve"> by adding CICO NO:1 or approved equivalent admixture including applying two coats not less than 2 mm thick of TAPECRETE- Acrylic  Polymer Based Waterproof Coating, over the final coat of cement plaster 12 mm thick with cement M.sand mortar 1:3 mixed with water proofing compound like CICO No.1 at the rate specified in the manufacturer's specification after entire completion of laying pipes, sanitary fittings etc.  
Rate including all materials, labour charges, wastages with necessary lead and lifts, working at all levels, protecting the laid pipes and sanitary fittings, finishing the surface smooth to receive the top coat of water proofing application etc. as complete with all respects complying with relevant standard specification and as directed by the departmental officers.</t>
    </r>
  </si>
  <si>
    <t>Supplying and laying hydraulic pressed rubber moulded paver Block (zig zag and  'I' block etc.,) of made from M40 concrete  - 63 mm thick including  transportation of the blocks to the site. Preparation of surface including supplying and filling with M.sand to 50 mm thick, levelling and compacting with plate vibrator and laying of the inter locking paving blocks with sand binding and final compaction with plate vibrator of 3 tonne capacity finishing the surface including cutting of blocks at the edges including all labour, materials, transportation, shifting etc. as complete with all respects complying with relevant standard specification as directed by the departmental officers.</t>
  </si>
  <si>
    <r>
      <t xml:space="preserve">Providing and fixing vacuum wet press concrete </t>
    </r>
    <r>
      <rPr>
        <b/>
        <sz val="14"/>
        <rFont val="Verdana"/>
        <family val="2"/>
      </rPr>
      <t>precast Splay kerb</t>
    </r>
    <r>
      <rPr>
        <sz val="14"/>
        <rFont val="Verdana"/>
        <family val="2"/>
      </rPr>
      <t xml:space="preserve"> to shape by using reinforced cement concrete M20 grade road kerbs of size 150X375X600 mm made to shape using 20 mm down size Coarse graded Basalt aggregate including form work and nominal reinforcement of Fe 415 grade, 12 mm dia at 150 c/c with 8 mm dia stirrups at 150 mm c/c fixing in cement concrete 1:3:6 nominal mix (one cement, three sand and six hard stone jelly) including all materials and labour components, laying, finishing, curing and the pointing exposed faces with C.M 1:3 (one cement and three M.sand) and colour washing with acrylic emulsion over a coat of primer etc. as complete with all respects complying with relevant standard specification as directed by the departmental officers.</t>
    </r>
  </si>
  <si>
    <t>Page.No. 11
Sch.Item.No.47A</t>
  </si>
  <si>
    <t>Page.No. 11
Sch.Item.No.56A</t>
  </si>
  <si>
    <t>Providing and constructing of brick work in Cement Mortar 1:5 (One Cement and Five M.sand) using best quality of Second Class Ground Moulded Chamber Burnt Bricks 9" x 41/2" x 3" with minimum compressive strength of 35 Kg per Sqcm for foundation and all floors including curing etc, Complete  complying with standard specifications and as directed by the departmental officers.</t>
  </si>
  <si>
    <t>vi) Lay protective plaster layer with 12mm thick Cement Mortar 1:4 (1 cement: 4 P.sand)  admixed with Normal setting integral Waterproofing compound CICO NO.1 or approved equivalent conforming to IS 2645 at the rate of  2% by weight of cement over the third coat of brush topping. Plaster shall be cured by  spraying of water for the next 7days. The entire water proofing system shall be protected with a 25 mm thick extruded polystyrene with necessary low VOC adhesive.</t>
  </si>
  <si>
    <t>Jaali wall area</t>
  </si>
  <si>
    <t xml:space="preserve">Sub Total Qty </t>
  </si>
  <si>
    <t>Duct B (Louver)</t>
  </si>
  <si>
    <t>Duct A (Louver)</t>
  </si>
  <si>
    <t>Duct C (Louver)</t>
  </si>
  <si>
    <t>Duct D (Louver)</t>
  </si>
  <si>
    <t>Duct E (Louver)</t>
  </si>
  <si>
    <r>
      <t xml:space="preserve">Providing and fixing of  well seasoned, best available </t>
    </r>
    <r>
      <rPr>
        <b/>
        <sz val="14"/>
        <color theme="1"/>
        <rFont val="Verdana"/>
        <family val="2"/>
      </rPr>
      <t>Country , vengai  wood frame or equalant</t>
    </r>
    <r>
      <rPr>
        <sz val="14"/>
        <color theme="1"/>
        <rFont val="Verdana"/>
        <family val="2"/>
      </rPr>
      <t xml:space="preserve">  for doors, windows, ventilators and any other similar joinery works of approved size and as per drawing detail. All exposed wooden surfaces are duly finished with melamine polish after sanding &amp; filler the surface to get a smooth finish of required level. The rate shall be inclusive of making necessary design as per drawing, in the frame and necessary hold fastener and hardware ect, The rate shall be inclusive of supply and fixing of 6 nos MS flat iron holdfast for each door of size 40mmx3mm and 40CM long fixing with CC 1:2:4 and 75mm long 10mm dia anchor fastener to RCC location where ever required. Finishes shall made at Factory only installation at site as complete with all respects complying with relevant standard specification, as directed by the departmental officers</t>
    </r>
  </si>
  <si>
    <r>
      <t xml:space="preserve">Supplying and fixing of </t>
    </r>
    <r>
      <rPr>
        <b/>
        <sz val="14"/>
        <rFont val="Verdana"/>
        <family val="2"/>
      </rPr>
      <t>Solid Core Flush shutters</t>
    </r>
    <r>
      <rPr>
        <sz val="14"/>
        <rFont val="Verdana"/>
        <family val="2"/>
      </rPr>
      <t xml:space="preserve"> with commercial ply on both side with teakwook lipping alround 35mm thick, Alround fully Teak wood Beading 35mm x 12mm, 125mm x 30mm  butt hinges - 3 No's, 150mm x 12mm Tower bolt - 2 No's, 5" Aldrop -1 No, 'D' type Handle 100mm - 2 No's,Rubber Bush - 40mm dia and 60mm long with required screws - 1 No etc </t>
    </r>
  </si>
  <si>
    <t>Flush door shutter size 1000x2100 ( Single leaf)</t>
  </si>
  <si>
    <t>Shutter size (0.9 x 2.025) = 1.8225sqm</t>
  </si>
  <si>
    <t>Solid core flush door shutter with TW palin</t>
  </si>
  <si>
    <t>Labour for Wrought &amp; Putup p33/156a</t>
  </si>
  <si>
    <t>Door Handle with CP screws 6'</t>
  </si>
  <si>
    <t>5" Butt Hings</t>
  </si>
  <si>
    <t>6"x1/2" Tower Bolt</t>
  </si>
  <si>
    <t>10"x5/8" Aldrop</t>
  </si>
  <si>
    <t>Brass Screws</t>
  </si>
  <si>
    <t>Rubber bush</t>
  </si>
  <si>
    <t>Door Stopper</t>
  </si>
  <si>
    <t>Painting Two Coats</t>
  </si>
  <si>
    <t>Solid Core Flush Shutters with teakply on both side
with teakwook lipping alround 35mm thick</t>
  </si>
  <si>
    <t>Labour wrought and put up in position Flush shutters</t>
  </si>
  <si>
    <t>Single leaf shutter</t>
  </si>
  <si>
    <t>Double leave shutters</t>
  </si>
  <si>
    <t>Page No 28 / Sch item no.116 a</t>
  </si>
  <si>
    <t>Page No 28 / Sch item no.116 b</t>
  </si>
  <si>
    <t>Handles "D" type of various sizes with required screws</t>
  </si>
  <si>
    <t>200mm long</t>
  </si>
  <si>
    <t>150mm long</t>
  </si>
  <si>
    <t>100mm long</t>
  </si>
  <si>
    <t>108 a</t>
  </si>
  <si>
    <t>108 b</t>
  </si>
  <si>
    <t>108 c</t>
  </si>
  <si>
    <t>Butt Hinges with Nylon Washers of various sizes of
Length and Width (with required screws)</t>
  </si>
  <si>
    <t>125mm x 30mm</t>
  </si>
  <si>
    <t>101 a</t>
  </si>
  <si>
    <t>Tower Bolts of various lengths and diametre (with
required screws)</t>
  </si>
  <si>
    <t>150mm long and 12mm dia</t>
  </si>
  <si>
    <t>103 e</t>
  </si>
  <si>
    <t>Aldrops of following lengths and diametre with required
screws, bolts and nuts</t>
  </si>
  <si>
    <t>250mm long and 16mm dia</t>
  </si>
  <si>
    <t>105 b</t>
  </si>
  <si>
    <t>Brass Screws (30 x 6mm)</t>
  </si>
  <si>
    <t>Rubber Bush - 40mm dia and 60mm long with required
screws</t>
  </si>
  <si>
    <t>Aluminium Door Stopper with Rubber Bush with
required screws</t>
  </si>
  <si>
    <t>Rate for 1.82 Sqm</t>
  </si>
  <si>
    <t>PAINTING TWO COATS OVER new WOOD WORKS WITH IIND CLASS SYNTHETIC ENAMEL PAINT INCL.PRIMER COAT.</t>
  </si>
  <si>
    <t>READY MIXED PRIMER PAINT</t>
  </si>
  <si>
    <t xml:space="preserve">PAINTER I </t>
  </si>
  <si>
    <t>READY MIXED IIND CLASS PAINT</t>
  </si>
  <si>
    <t>SUNDRIES FOR BRUSHES,ETC</t>
  </si>
  <si>
    <t>Wood Primer</t>
  </si>
  <si>
    <t>Liter</t>
  </si>
  <si>
    <t>Synthetic Enamel Paint for Wood Work</t>
  </si>
  <si>
    <t>Rate for 10 Sqm</t>
  </si>
  <si>
    <t>Shutter size (0.8 x 2.025) = 1.62sqm</t>
  </si>
  <si>
    <t>Flush door shutter size 750x2100 ( Single leaf)</t>
  </si>
  <si>
    <t>Flush door shutter size 900x2100 ( Single leaf)</t>
  </si>
  <si>
    <t xml:space="preserve">Size:1000x2100mm </t>
  </si>
  <si>
    <t xml:space="preserve">Size:900x2100mm </t>
  </si>
  <si>
    <t xml:space="preserve">Size:750x2100mm </t>
  </si>
  <si>
    <t>Shutter size (0.65 x 2.025) = 1.32sqm</t>
  </si>
  <si>
    <t>COST OF CERAMIC FLOOR TILES</t>
  </si>
  <si>
    <t>LABOUR FOR LAYING &amp; POINTING</t>
  </si>
  <si>
    <t>Grout ( qtn)</t>
  </si>
  <si>
    <t>SUNDRIES</t>
  </si>
  <si>
    <t>C.M(1:4)</t>
  </si>
  <si>
    <t>COMPOUND WALL</t>
  </si>
  <si>
    <t>M.SAND Filling</t>
  </si>
  <si>
    <t>Earth Work</t>
  </si>
  <si>
    <t>RCC</t>
  </si>
  <si>
    <t>Column BGL</t>
  </si>
  <si>
    <t>Form Works</t>
  </si>
  <si>
    <t>Column  below GFL</t>
  </si>
  <si>
    <t>Solid Block</t>
  </si>
  <si>
    <t>Plastering External</t>
  </si>
  <si>
    <t xml:space="preserve">Security Cabin </t>
  </si>
  <si>
    <t>Compound Wall Works</t>
  </si>
  <si>
    <t>DG Works</t>
  </si>
  <si>
    <t xml:space="preserve">Safety &amp; Security System </t>
  </si>
  <si>
    <t>Ventilation Works</t>
  </si>
  <si>
    <t>Painting External</t>
  </si>
  <si>
    <t>Reinforcement Steel</t>
  </si>
  <si>
    <t>Supply and Delivery of Loose Furniture and Chairs including cost of transportation charges and ect.</t>
  </si>
  <si>
    <r>
      <t xml:space="preserve">Providing and fixing of flooring with quality approved make of </t>
    </r>
    <r>
      <rPr>
        <b/>
        <sz val="14"/>
        <rFont val="Verdana"/>
        <family val="2"/>
      </rPr>
      <t>Double charged vitrified tiles</t>
    </r>
    <r>
      <rPr>
        <sz val="14"/>
        <rFont val="Verdana"/>
        <family val="2"/>
      </rPr>
      <t xml:space="preserve"> - Polished / Matt (seamless joint) confirming to IS 13006/EN 176  Group B1a with technical specification as Mohs scratch hardness minimum  7,Water Absorption of less than 0.5%, Modulus of Rupture greater than 35 N/mm2, Deep Abrasion resistant maximum 175 mm 3 Surface flatness, Straightness of sides ± 0.25%, thickness  ± 5% of size of  approved colour and size &amp; thick as specified below, set  in 20mm thick C.M.1:4(1 cement and 4 M.Sand )  and pointing with white cement  to matching colour shade as per Manufacturer's Specification and as directed.  Rate shall include wastages, for preparation of base surface, cleaning, acid wash, and finished surface, protection with Gypsum / Pop  layer  over  Plastic sheet and removing the same before handing over, work at  all levels and as directed. Rate shall be inclusive of forming pattern as directed by departmental officers. etc; as complete in all respects and complying with relevant standard specifications and as directed by the departmental officers and the brant and desige should be got approved </t>
    </r>
  </si>
  <si>
    <r>
      <t xml:space="preserve">Providing and fixing of flooring with best approved quality of  </t>
    </r>
    <r>
      <rPr>
        <b/>
        <sz val="14"/>
        <color theme="1"/>
        <rFont val="Verdana"/>
        <family val="2"/>
      </rPr>
      <t>ceramic tiles  (Anti-skid)</t>
    </r>
    <r>
      <rPr>
        <sz val="14"/>
        <color theme="1"/>
        <rFont val="Verdana"/>
        <family val="2"/>
      </rPr>
      <t xml:space="preserve"> of various sizes over a base layer of cement mortar 1:4 (One Cement and three of M.sand) 20mm thick  and pointing with same colour cement neatly etc., including finishing the joints and appointing flush with even surfaces etc., as directed.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officers.The sample and desing should be got approved </t>
    </r>
  </si>
  <si>
    <r>
      <t xml:space="preserve">Supply and laying with best quality the following materials of Machine Polished granite slab for </t>
    </r>
    <r>
      <rPr>
        <b/>
        <sz val="14"/>
        <color theme="1"/>
        <rFont val="Verdana"/>
        <family val="2"/>
      </rPr>
      <t>wash basin counter top of 18 to 20mm thick (Jet Black)</t>
    </r>
    <r>
      <rPr>
        <sz val="14"/>
        <color theme="1"/>
        <rFont val="Verdana"/>
        <family val="2"/>
      </rPr>
      <t xml:space="preserve"> including cutting for wash basin and edge polishing to be set in CM 1:4 (1 of cement : 4 of M.sand) 20 mm thick including finishing the joints with white cement slurry, cutting, edge chamfering to approved shape and polishing rough, medium, nice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and desing should be got approved. </t>
    </r>
  </si>
  <si>
    <r>
      <t xml:space="preserve">Supply and Laying flooring with best quality of </t>
    </r>
    <r>
      <rPr>
        <b/>
        <sz val="14"/>
        <color theme="1"/>
        <rFont val="Verdana"/>
        <family val="2"/>
      </rPr>
      <t>Granite slab leather finish 18 to 20mm thick</t>
    </r>
    <r>
      <rPr>
        <sz val="14"/>
        <color theme="1"/>
        <rFont val="Verdana"/>
        <family val="2"/>
      </rPr>
      <t xml:space="preserve"> (Steel Grey, Sira Grey, Ruby Red, SK Blue, Raw silk, Antique Brown) of size not less than 1200 x 600 mm  machine cut with approved pattern in a single colour/multiple colour and set in C.M 1:4 (1 of cement : 4 of M.sand) 20 mm thick topped with white cement slurry (for surface contact of the bottom of the granite slab) as per approved pattern, including finishing the joints with matching shade, cement slurry, cutting, edge chamfering and polishing rough, medium, nice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should be got approvd. </t>
    </r>
  </si>
  <si>
    <t xml:space="preserve">Supply and Laying flooring with best quality approved colour Granite slab Polished finish 18 to 20mm thick (Green teak, Fox brown, Royal brown, Ruby Red and Raw silk) of size not less than 1200 x 600 mm  machine cut with approved pattern in a single colour/multiple colour and set in C.M 1:4 (1 of cement : 4 of M.sand) 20 mm thick topped with white cement slurry (for surface contact of the bottom of the granite slab) as per approved pattern, including finishing the joints with matching shade, cement slurry, cutting, edge chamfering and polishing rough, medium, nice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should be got approvd </t>
  </si>
  <si>
    <r>
      <t xml:space="preserve">Supply and Laying flooring with best quality approved colour </t>
    </r>
    <r>
      <rPr>
        <b/>
        <sz val="14"/>
        <color theme="1"/>
        <rFont val="Verdana"/>
        <family val="2"/>
      </rPr>
      <t>leather Granite slab 18 to 20 mm thick in a single piece (Sira grey) for each step for the entire width of the stair</t>
    </r>
    <r>
      <rPr>
        <sz val="14"/>
        <color theme="1"/>
        <rFont val="Verdana"/>
        <family val="2"/>
      </rPr>
      <t xml:space="preserve">, machine cut and machine high pre-polished, set in C.M 1:4 (1 of cement : 4 of M.sand) 20 mm thick topped with white cement slurry (for surface contact of the bottom of the granite slab) as per approved pattern, including finishing the joints with matching shade, cement slurry, cutting, edge chamfering and polishing rough, medium, nice tin-oxide polish. 
Rate including wastages, preparation of surface, necessary hacking in RCC surface, cutting to required shape, edging, edge moulding anti skid &amp; grooves as per drawing, tools and plants, fuel, curing,  cleaning, acid wash over finished surface, protection with Gypsum / Pop  layer  over  plastic sheet and removing the same before handing over as complete with all respects complying with relevant standard specification and as directed by the departmental officers. The  Sample should be got approvd. </t>
    </r>
  </si>
  <si>
    <r>
      <t xml:space="preserve">Supply and Laying with best quality approved </t>
    </r>
    <r>
      <rPr>
        <b/>
        <sz val="14"/>
        <color theme="1"/>
        <rFont val="Verdana"/>
        <family val="2"/>
      </rPr>
      <t>Kotah stone slab</t>
    </r>
    <r>
      <rPr>
        <sz val="14"/>
        <color theme="1"/>
        <rFont val="Verdana"/>
        <family val="2"/>
      </rPr>
      <t xml:space="preserve">  not  less than  20 mm thick and the  size of slab in general not less than 1200 x 600 mm machine cut and machine high pre-polished, set in C.M 1:4 (1 of cement : 4 of  M.sand ), 20 mm thick topped with white cement slurry (for surface contact of the bottom of the Kotah slab) as per approved pattern/design as per drawing  by using irrespective of  size and shape, including finishing the joints with white cement slurry, cutting, edge chamfering and polishing rough, medium, nice and acid wash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should be got approvd. </t>
    </r>
  </si>
  <si>
    <r>
      <t xml:space="preserve">Providing flooring with best quality approved make </t>
    </r>
    <r>
      <rPr>
        <b/>
        <sz val="14"/>
        <color theme="1"/>
        <rFont val="Verdana"/>
        <family val="2"/>
      </rPr>
      <t>White ceramic tiles</t>
    </r>
    <r>
      <rPr>
        <sz val="14"/>
        <color theme="1"/>
        <rFont val="Verdana"/>
        <family val="2"/>
      </rPr>
      <t xml:space="preserve"> ranges, Size of tiles shall be 6mm thick of 300 x 300 mm size set in  CM 1:4, (1 of cement : 4 of M.sand),  20mm thick and  pointing the joints with Laticrete and pointing with Laticrete of approved make and as directed.  Rate shall include for preparation of base surface, and finishing the surface, cleaning the surface, and protecting and with Gypsum / POP layer  over  Plastic sheet and removing the same before handing over, work at  all levels etc. as complete in all respects and complying with relevant standard specifications and as directed .( Over Head Tanks &amp; U.G.Sump). The  Sample should be got approvd. </t>
    </r>
  </si>
  <si>
    <t xml:space="preserve">Supply and Laying with best quality approved Kotah stone slab  not  less than  20 mm thick in a single piece for each step for the entire width of the stair machine cut and machine high pre-polished, set in C.M 1:4 (1 of cement : 4 of M.sand), 20 mm thick topped with white cement slurry (for surface contact of the bottom of the Kotah slab) as per approved drawing  including finishing the joints with white cement slurry, cutting, edge chamfering and polishing rough, medium, nice and acid wash  and tin-oxide polish. Rate  shall  include for preparation of base surface &amp; finished the surface, protection with gypsum/pop layer over plastic sheet and removing the same before handing over, work at all levels. For Raiser and Treads instead of floor including edge moulding anti skid &amp; grooves with polishing and non slippery stripes etc and as complete with all respects complying with relevant standard specification as directed by the departmental officers. The  Sample should be got approvd. </t>
  </si>
  <si>
    <t xml:space="preserve">Supply and Laying Double charged vitrified skirting 100 mm high of same approved flooring tile set in C.M 1:3 (1 of Cement : 3 of M.sand) 12 mm thick and pointing the joints with white cement compound and matching corner tile beading.   
Rate including wastages, chasing of wall for flushing the tile inline with wall surface with necessary grooves, preparation of surface, necessary hacking in RCC surface, cutting of tiles to required shape, edging, curing,  cleaning, acid wash over finished surface, protection with Gypsum / Pop  layer  over  Plastic sheet and removing the same before handing over as complete with all respects complying with relevant standard specification and as directed by the departmental officers. The  Sample should be got approvd. </t>
  </si>
  <si>
    <r>
      <t xml:space="preserve">Providing </t>
    </r>
    <r>
      <rPr>
        <b/>
        <sz val="14"/>
        <color theme="1"/>
        <rFont val="Verdana"/>
        <family val="2"/>
      </rPr>
      <t>100 mm high skirting</t>
    </r>
    <r>
      <rPr>
        <sz val="14"/>
        <color theme="1"/>
        <rFont val="Verdana"/>
        <family val="2"/>
      </rPr>
      <t xml:space="preserve"> with best quality approved </t>
    </r>
    <r>
      <rPr>
        <b/>
        <sz val="14"/>
        <color theme="1"/>
        <rFont val="Verdana"/>
        <family val="2"/>
      </rPr>
      <t xml:space="preserve">granite slab </t>
    </r>
    <r>
      <rPr>
        <sz val="14"/>
        <color theme="1"/>
        <rFont val="Verdana"/>
        <family val="2"/>
      </rPr>
      <t>of thickness not less than 18 mm,</t>
    </r>
    <r>
      <rPr>
        <u/>
        <sz val="14"/>
        <color theme="1"/>
        <rFont val="Verdana"/>
        <family val="2"/>
      </rPr>
      <t xml:space="preserve"> </t>
    </r>
    <r>
      <rPr>
        <sz val="14"/>
        <color theme="1"/>
        <rFont val="Verdana"/>
        <family val="2"/>
      </rPr>
      <t xml:space="preserve">machine cut and leather finish set in cement mortar at all levels and all as per drawing. Rate  shall include for preparation of surface,  with tin-oxide / high gloss factory polish. Rate also to include filleting/ chamfering of the edges along with partial recessing of the skirting into masonry / gypsum wall. Sample should be got approvd. </t>
    </r>
  </si>
  <si>
    <t xml:space="preserve">Supply and Fixing Dadoing with best quality polished vitrified tile of approved make set in C.M 1:3 (1 of Cement : 3 of M.sand) 12 mm thick and pointing the joints with white cement compound and matching corner tile beading.   
Rate including all materials, labour charges, wastages, necessary lead and lifts, working at all levels, transportation charges, loading, unloading, chasing of wall for flushing the tile inline with wall surface,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Engineer-in-charge.(Toilets). Sample should be got approvd. </t>
  </si>
  <si>
    <t xml:space="preserve">Rate including all materials, labour charges, wastages, necessary lead and lifts, working at all levels, transportation charges, loading, unloading, filleting/ chamfering of the edges along with partial recessing of the skirting into masonry,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departmental officers. Rate shall include for preparation of base surface, cleaning, chamfering, edge polishing, with tin-oxide / high gloss factory polish, provision of 'V' shaped notch cuts along the horizontal and vertical joints of specified size as detailed in the drawing protection with Gypsum/POP layer over plastic sheet etc. complete, as directed. Sample should be got approvd. </t>
  </si>
  <si>
    <t xml:space="preserve">Supply and fixing wall dado with best quality approved make White Glossy ceramic tiles sizes 300 x 300 mm x 6 mm thick set in  CM 1:3 (1 of Cement : 3 of M.sand) 10mm thick and   pointing with white cement and as directed.  Rate shall include for preparation of base surface, and finishing the surface, cleaning the surface, work at  all levels etc. as complete and as directed by the departmental officers (For Over Head Tanks &amp; U.G.Sump)   
Rate including all materials, labour charges, wastages, necessary lead and lifts, working at all levels, transportation charges, loading, unloading, preparation of surface, necessary hacking in RCC surface, cutting of tiles to required shape, edging, tools and plants, fuel, curing,  cleaning, acid wash over finished surface, protection with Gypsum / Pop  layer  removing the same before handing over as complete with all respects complying with relevant standard specification and as directed by the departmental officers. Sample should be got approvd. </t>
  </si>
  <si>
    <t xml:space="preserve">Providing Dadoing with best quality Ceramic tile of approved make and size set in cement mortar 1:3 (1 of Cement : 3 of M.sand), pointing the joints with white cement compound and matching corner tile beading. Rate including all materials, labour charges, wastages, necessary lead and lifts, working at all levels, transportation charges, loading, unloading, chasing of wall for flushing the tile inline with wall surface,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Engineer-in-charge. (Kitchen &amp; wash ) Sample should be got approvd. </t>
  </si>
  <si>
    <t>Ultratech / Coromandel / Chettinad / Equivalent</t>
  </si>
  <si>
    <t>Birla / Jk / Equivalent</t>
  </si>
  <si>
    <t>Aerocon / Renacon / Kamcrete / Equivalent</t>
  </si>
  <si>
    <t>Aeons / Besser / Sobha / Equivalent</t>
  </si>
  <si>
    <t>Approved local Vendors or equivalent</t>
  </si>
  <si>
    <t>Gyproc / USG / Equivalent</t>
  </si>
  <si>
    <t>JSW/TATA/SAIL / Equivalent</t>
  </si>
  <si>
    <t>Arun / Tulsyan / Kamachi / Equivalent</t>
  </si>
  <si>
    <t>SAIL/ TISCO / Jindal / Equivalent</t>
  </si>
  <si>
    <t>Bayer/PCI / Equivalent</t>
  </si>
  <si>
    <t>Marble Kingdom/versatile / Equivalent</t>
  </si>
  <si>
    <t>ACT Ultra floor / KPK / Lamba / Equivalent</t>
  </si>
  <si>
    <t>Somany / Kajaria / Qutone/Nexion / Equivalent</t>
  </si>
  <si>
    <t>Laticrete / Bal Endura / Kerakoll / Equivalent</t>
  </si>
  <si>
    <t>Unitile / Flexi / Alcol / Equivalent</t>
  </si>
  <si>
    <t>Carpet Inter / Interface / Milliken / Equivalent</t>
  </si>
  <si>
    <t>Flowcrete / Laticrete / Fosroc / Equivalent</t>
  </si>
  <si>
    <t>Flowcrete / Sika / Fosroc / Equivalent</t>
  </si>
  <si>
    <t>Fosroc/ Ardex / Sika / Pidilite / Equivalent</t>
  </si>
  <si>
    <t>Thermatek / Kajaria / Equivalent</t>
  </si>
  <si>
    <t>Gyproc  / USG / Diamond / Equivalent</t>
  </si>
  <si>
    <t>Armstrong  / USG / Equivalent</t>
  </si>
  <si>
    <t>Armstrong / Hunter Douglas /Fameline / Equivalent</t>
  </si>
  <si>
    <t>Gyproc / Knauf / Hillpoint / Equivalent</t>
  </si>
  <si>
    <t>Hilux/ USG/ Saint Gobain / Equivalent</t>
  </si>
  <si>
    <t>Gyproc / USG / Diamond / Equivalent</t>
  </si>
  <si>
    <t>Jindal / Indal / Hindalco / Equivalent</t>
  </si>
  <si>
    <t>Roxul Rockwool / UP Twiga / MRFL / Equivalent</t>
  </si>
  <si>
    <t>Greenlam / Merino / Formica / Equivalent</t>
  </si>
  <si>
    <t>Greenlam / Century / Sharon / Equivalent</t>
  </si>
  <si>
    <t>Greenply / Somani / Kajaria / Archid Ply / Equivalent</t>
  </si>
  <si>
    <t>Saint Gobain / AIS / GSC Glass / Equivalent</t>
  </si>
  <si>
    <t>Senses Akoustik / Tranquil / Anutone / Equivalent</t>
  </si>
  <si>
    <t>White Mark / Alsosign / Writex / Equivalent</t>
  </si>
  <si>
    <t>Asian Paints - Nilaya / Vescom / Equivalent</t>
  </si>
  <si>
    <t>Deko / Dorma /Haffle / Equivalent</t>
  </si>
  <si>
    <t>Walline / Bottomline / Dural / Equivalent</t>
  </si>
  <si>
    <t>Staron / LG Himacs / Hanex / Tristone / Equivalent</t>
  </si>
  <si>
    <t>Jolly board / Kanico / Equivalent</t>
  </si>
  <si>
    <t>Structured living / Response / Equivalent</t>
  </si>
  <si>
    <t>Saint Gobain / Asahi / Guardian / Equivalent</t>
  </si>
  <si>
    <t>Fuso / GlassTec / TPRS / Equivalent</t>
  </si>
  <si>
    <t>Vetrotech (VDS) / Shakti Hormann / MMC / Equivalent</t>
  </si>
  <si>
    <t>Vetro tech - Saint Gobain / Pyroguard / AIS / Equivalent</t>
  </si>
  <si>
    <t>Shakti Hormann / IHMS / Equivalent</t>
  </si>
  <si>
    <t>Geze /  Dorma / Hafele / Auto Ingress / Equivalent</t>
  </si>
  <si>
    <t>Mikasa / Archidply / Equivalent</t>
  </si>
  <si>
    <t>Geze / Dorma / Hafele / Equivalent</t>
  </si>
  <si>
    <t>Geze /  Dorma / Hafele / Equivalent</t>
  </si>
  <si>
    <t>Hilti / Fischer / Equivalent</t>
  </si>
  <si>
    <t>Saint gobain / Pilkington / Pyran / Equivalent</t>
  </si>
  <si>
    <t>Raven / Hormann / Equivalent</t>
  </si>
  <si>
    <t>Fischer / U-Foam / Lloyds / Equivalent</t>
  </si>
  <si>
    <t>Hilti / 3M / Promat / Equivalent</t>
  </si>
  <si>
    <t>Geze/Deko / Dorma / Apton / Equivalent</t>
  </si>
  <si>
    <t>Hafele / Hetich / Godrej / Equivalent</t>
  </si>
  <si>
    <t>Alluminum Window</t>
  </si>
  <si>
    <t>My Window/ Mookambikai /NDOT/ Equivalent</t>
  </si>
  <si>
    <t>Veka/ Fenesta/Rehau / Saint gobin / Equivalent</t>
  </si>
  <si>
    <t>Auto Ingress / Shakti Hormann / Nihva / Gandhi / Equivalent</t>
  </si>
  <si>
    <t>JK / Roshan / Trimurti / Equivalent</t>
  </si>
  <si>
    <t>Nippon / Berger / ICI Dulux / Nippon / Equivalent</t>
  </si>
  <si>
    <t>Nippon / Nova Spray / Nippon / Equivalent</t>
  </si>
  <si>
    <t>Nippon / Berger / ICI Dulux / Equivalent</t>
  </si>
  <si>
    <t>Birla / Berger /  ICI Dulux / Equivalent</t>
  </si>
  <si>
    <t>SVK / Nippon/ Berger / Equivalent</t>
  </si>
  <si>
    <t>Sunon / HNI / Haworth / Rockworth / Steelcase / Equivalent</t>
  </si>
  <si>
    <t>Sunon / Albans Designs / Haworth / Steelcase / Equivalent</t>
  </si>
  <si>
    <t>Cico / Fosroc / Sika / Pidilite / Equivalent</t>
  </si>
  <si>
    <t>Rocco/Queo/Kholer / Equivalent</t>
  </si>
  <si>
    <t>Falanx / 3M / Euronics / Equivalent</t>
  </si>
  <si>
    <t>3M / Avery Dennison / Equivalent</t>
  </si>
  <si>
    <t>Falanx /Dural/ Alloy / Gradus / Equivalent</t>
  </si>
  <si>
    <t>Phifer / Hunter douglas /Savlon / Equivalent</t>
  </si>
  <si>
    <t>Basant Beton  / Aeon/ Super Tiles / Equivalent</t>
  </si>
  <si>
    <t>Saint gobin / Asahi / TPRS / Equivalent</t>
  </si>
  <si>
    <t>Air Conditioning Works</t>
  </si>
  <si>
    <t>Supply and painting in walls with 2 coats of first quality water proof cement paint of approved make and colour over one coat of priming coat white colour water proof cement paint or any primer specified by the manufacture including preparation of surface, scaffolding, curing etc., complete at all levels, elevations and heights. The surface should be thoroughly cleaned and wetted before painting.  The painting and curing must be done as per manufacturer's specification.</t>
  </si>
  <si>
    <t>Precast Hollowcore Compound wall</t>
  </si>
  <si>
    <t>With precast Slabs and Posts - 2400mm from top of Tie beam level</t>
  </si>
  <si>
    <t>Supply and installation of M25 grade precast hollowcore slab and Posts to the details as shown in the drawing. But in general the precast hollowcore slab shall be of 200mm thick and to a size of 8000mm length and 1200mm height inserted to the dumbbell shaped Precast post of same grade. Precast post shall be placed over the tie beam / Pedestal with necessary fixing arrangements as per manufacturer's specification. Two post shall be placed near the expansion joints as per details</t>
  </si>
  <si>
    <t>Rate to include all the works mentioned above including preparing shop drawings as per the architectural design intend drawing for Architect's approval and display of samples as directed by Engineer-in-charge.</t>
  </si>
  <si>
    <t>OVER THE PRIMER COAT OF APPROVED CEMENT PAINT FOR NEW PLASTERED SURFACES</t>
  </si>
  <si>
    <t>Primer coat using white cement</t>
  </si>
  <si>
    <t>PAINTER I</t>
  </si>
  <si>
    <t>MAZDOOR  I</t>
  </si>
  <si>
    <t>CEMENT PAINT</t>
  </si>
  <si>
    <t>SUNDRIES FOR BRUSH ETC</t>
  </si>
  <si>
    <t xml:space="preserve"> Cement Paint (First Quality)</t>
  </si>
  <si>
    <t>Painting Works</t>
  </si>
  <si>
    <r>
      <t xml:space="preserve">Supply and painting in walls with 2 coats of first quality </t>
    </r>
    <r>
      <rPr>
        <b/>
        <sz val="14"/>
        <color theme="1"/>
        <rFont val="Verdana"/>
        <family val="2"/>
      </rPr>
      <t>water proof cement paint</t>
    </r>
    <r>
      <rPr>
        <sz val="14"/>
        <color theme="1"/>
        <rFont val="Verdana"/>
        <family val="2"/>
      </rPr>
      <t xml:space="preserve"> of approved make and colour over one coat of priming coat white colour water proof cement paint or any primer specified by the manufacture including preparation of surface, scaffolding, curing etc., complete at all levels, elevations and heights. The surface should be thoroughly cleaned and wetted before painting.  The painting and curing must be done as per manufacturer's specification.</t>
    </r>
  </si>
  <si>
    <t>Estimate for construction of Proposed Working Women's Hostels at Tiruvannamalai.</t>
  </si>
  <si>
    <t>Proposed Interior Fit-out for Working Women's Hostels at Tiruvannamalai.</t>
  </si>
  <si>
    <t>ADMIN OFFICE TABLE  1200X600X750 MM</t>
  </si>
  <si>
    <t xml:space="preserve">WARDROBE 900X500X1950MM 
</t>
  </si>
  <si>
    <t xml:space="preserve">Supply and installation of Wooden / MDF wardrope  all panel 18mm thk  MDF board with 2mm edge banding finish. Including cost of all material , labour charges as directed by he departmental officers </t>
  </si>
  <si>
    <t>STUDY TABLE WITH SELF
Size : 1050 x 550 x 750 Ht
Wooden/MDF Bed 
25mm thick head board and foot board MDF board with 2mm edge banding finish. Support section ms powder coating finish.</t>
  </si>
  <si>
    <t xml:space="preserve">STUDY CHAIR
</t>
  </si>
  <si>
    <t>WOODE / MDF BED (Without Mattress)
25mm thick head board and foot board MDF board with 2mm edge banding finish. Support section ms powder coating finish.</t>
  </si>
  <si>
    <t xml:space="preserve">
Dining tables with 4 chairs
Size : 1200 W x 800 D x 750 Ht 
Dining table top 18mm thicl PLPB finish with 2mm edge banding. Support leg ms powder coating finish.</t>
  </si>
  <si>
    <t xml:space="preserve">Office storage cabinet
All panel 18mm thick prelam partical board finish, 2mm edge banding finish. Swing type shutter. Including cost of all material , labour charges as directed by he departmental officers </t>
  </si>
  <si>
    <t xml:space="preserve">Admin Office tables &amp; chair. Including cost of all material , labour charges as directed by he departmental officers </t>
  </si>
  <si>
    <t>SIDE TABLE
1200 W X 450 D X 750 H                                         All panel 18mm thick prelam partical board finish, 2mm edge banding finish. Swing type shutter.</t>
  </si>
  <si>
    <r>
      <rPr>
        <b/>
        <sz val="12"/>
        <color theme="1"/>
        <rFont val="Arial"/>
        <family val="2"/>
      </rPr>
      <t xml:space="preserve">Kitchen Furniture and Storage                          Size: </t>
    </r>
    <r>
      <rPr>
        <sz val="12"/>
        <color theme="1"/>
        <rFont val="Arial"/>
        <family val="2"/>
      </rPr>
      <t xml:space="preserve">2400 W X 1800 D X 800 H
Kitchen unit full set BWR ply wood finish. Including cost of all material , labour charges as directed by he departmental officers </t>
    </r>
  </si>
  <si>
    <r>
      <rPr>
        <b/>
        <sz val="12"/>
        <color theme="1"/>
        <rFont val="Arial"/>
        <family val="2"/>
      </rPr>
      <t>Janitor storage                                                     Size: 900 W X 450 D X 1800 H</t>
    </r>
    <r>
      <rPr>
        <sz val="12"/>
        <color theme="1"/>
        <rFont val="Arial"/>
        <family val="2"/>
      </rPr>
      <t xml:space="preserve">
18mm thick prelam partical board finish with 2mm edge banding and swing type shutters. Including cost of all material , labour charges as directed by he departmental officers </t>
    </r>
  </si>
  <si>
    <t>GF to 3rd floor</t>
  </si>
  <si>
    <r>
      <t xml:space="preserve">2hrs.  Fire  rated  hollow  metal  doors  -  Powder  Coated single leaf door of </t>
    </r>
    <r>
      <rPr>
        <b/>
        <sz val="14"/>
        <color theme="1"/>
        <rFont val="Verdana"/>
        <family val="2"/>
      </rPr>
      <t>size 1500x2150mm</t>
    </r>
    <r>
      <rPr>
        <sz val="14"/>
        <color theme="1"/>
        <rFont val="Verdana"/>
        <family val="2"/>
      </rPr>
      <t xml:space="preserve"> with vision panel of size 200 x 300mm.
Hardware : SS Ball bearing hinges - 4"X3"X3mm, 
with Pull Handle 22x300mm D Type, 278 Dead 
Lock Package and TS 92 door closer</t>
    </r>
  </si>
  <si>
    <t>Supply &amp; Fixing of Aluminium Glazed Door Single Leaf with Glass infill of 12mm thk toughened glass with Dormakaba Alterra lite System-100mm frames Stiles all around the door. Aluminium Stile to be formed out of 
100x45mm of Alterra STP100 Door Profile frame with clips &amp; seals with Dormakaba Flush Hinges (3Nos) &amp; TGDI-D 22x300mm Pull Handle, 917 Narrow stile Dead Lock package and Dormakaba TS91 Door closer (as per EN 1154) with Hold Open unit,For doors part of 
single/double glazed partiton DP100-SG/DG Door rebate profile to be used.In case of Glass overall panel Alterra lite OHPDP100-SD/DG Over Panel Door profile to be used.
The Alterra lite profiles shall be suitable for Glass thickness of 12mm.The Profile shall be matt natural anodized, the Profile Manufacturer to supply all the necessary clips, seals and fixing accessories for the system.
All Profiles to be with 2 mm Gauge thickness 
Excluding 20 Micron of Anodizing.
Approved Manufacturer: Profiles/Frames: 
Dormakaba, Glass : Saint Giobain/Asahi
Width 1000mm x Height 2400mm</t>
  </si>
  <si>
    <t>Rate as per Quotation (Refer ANNEXURE - 04)</t>
  </si>
  <si>
    <t>Rate as per quotation (Refer ANNEXURE - 04)</t>
  </si>
  <si>
    <t>Rate as per quotation (Refer ANNEXURE - 03)</t>
  </si>
  <si>
    <t>Rate as per Quotation (Refer ANNEXURE - 03)</t>
  </si>
  <si>
    <r>
      <rPr>
        <b/>
        <sz val="12"/>
        <color theme="1"/>
        <rFont val="Arial"/>
        <family val="2"/>
      </rPr>
      <t xml:space="preserve">Pantry Furniture - BWR Ply   </t>
    </r>
    <r>
      <rPr>
        <sz val="12"/>
        <color theme="1"/>
        <rFont val="Arial"/>
        <family val="2"/>
      </rPr>
      <t xml:space="preserve">                                  Size: 2400 W X 600 D X 800 H</t>
    </r>
  </si>
  <si>
    <t xml:space="preserve">Pantry </t>
  </si>
  <si>
    <r>
      <t xml:space="preserve">Providing and laying in position, Standardised Concrete Mix </t>
    </r>
    <r>
      <rPr>
        <b/>
        <sz val="14"/>
        <color theme="1"/>
        <rFont val="Verdana"/>
        <family val="2"/>
      </rPr>
      <t>M-30 Grade</t>
    </r>
    <r>
      <rPr>
        <sz val="14"/>
        <color theme="1"/>
        <rFont val="Verdana"/>
        <family val="2"/>
      </rPr>
      <t xml:space="preserve"> in accordance with IS:456-2000, using 20mm and down graded hard broken granite stone jelly for all RCC items of works with minimum cement content of 400 kg/mᶾ and maximum water cement ratio of 0.45, including admixture (plasticiser / super plasticiser) in recommended proportions as per IS:9103 to accelerate, retard setting of concrete, improve workability without impairing strength and durability with about (5.0 cu.m.) 7730 kg. of 20mm machine crushed stone jelly and with about (3.3 cu.m.) 5156 kg. of 10-12mm machine crushed stone jelly and with about (4.79 cu.m.) 7670 kg. of M.Sand, but excluding cost of reinforcement grill and fabricating charges, centering and shuttering and also including laying, vibrating with mechanical vibrators, finishing, curing, etc. and providing fixtures like fan clamps in the RCC floor/ roof slabs wherever necessary without claiming extra, etc., complete complying with standard specification and as directed by the departmental officers.  </t>
    </r>
  </si>
  <si>
    <t xml:space="preserve">DESIGN MIX M-25 GRADE CONCRETE FOR </t>
  </si>
  <si>
    <t>Provision for Unforeseen items and Contingencies etc., @1%</t>
  </si>
  <si>
    <t xml:space="preserve">Lift pit inside </t>
  </si>
  <si>
    <t>Earth work excavation / open excavation for foundation in all type of soils and sub soils to the required depth as directed including dense soil, disintegrated/weathered/soft rock not requiring blasting for Footings, Pile caps, Lift pits, etc... by mechanical means including manual excavation for levelling, dressing of sides and ramming of bottom with all leads and lifts, shoring, strutting and baling out water wherever necessary etc., as complete with all respects complying with relevant standard specification and as directed by the departmental officers.</t>
  </si>
  <si>
    <t xml:space="preserve">Earthwork Excavation </t>
  </si>
  <si>
    <t>LS provision for Advertisement cost (Including GST)</t>
  </si>
  <si>
    <t>LS provision for EB Charges (Including GST)</t>
  </si>
  <si>
    <t>LS provision for DTCP Approval (Including GST)</t>
  </si>
  <si>
    <t>Package 2</t>
  </si>
  <si>
    <t>approval obtained</t>
  </si>
  <si>
    <t>on tendered cost</t>
  </si>
  <si>
    <r>
      <t xml:space="preserve">Providing and laying in position, Standardised Concrete Mix </t>
    </r>
    <r>
      <rPr>
        <b/>
        <sz val="14"/>
        <color theme="1"/>
        <rFont val="Verdana"/>
        <family val="2"/>
      </rPr>
      <t>M-25 Grade</t>
    </r>
    <r>
      <rPr>
        <sz val="14"/>
        <color theme="1"/>
        <rFont val="Verdana"/>
        <family val="2"/>
      </rPr>
      <t xml:space="preserve"> in accordance with IS:456-2000, using 20mm and down graded hard broken granite stone jelly for all RCC items of works with minimum cement content of 350 kg/mᶾ and maximum water cement ratio of 0.45, including admixture (plasticiser / super plasticiser) in recommended proportions as per IS:9103 to accelerate, retard setting of concrete, improve workability without impairing strength and durability with about (5.0 cu.m.) 7730 kg. of 20mm machine crushed stone jelly and with about (3.3 cu.m.) 5156 kg. of 10-12mm machine crushed stone jelly and with about (4.79 cu.m.) 7670 kg. of M.Sand, but excluding cost of reinforcement grill and fabricating charges, centering and shuttering and also including laying, vibrating with mechanical vibrators, finishing, curing, etc. and providing fixtures like fan clamps in the RCC floor/ roof slabs wherever necessary without claiming extra, etc., complete complying with standard specification and as directed by the departmental officers.  </t>
    </r>
  </si>
  <si>
    <t>ADC
(Refer Quotation 04)</t>
  </si>
  <si>
    <t>MMC
(Refer Quotation 05)</t>
  </si>
  <si>
    <t>VN Associates
(Refer Quotation 06)</t>
  </si>
  <si>
    <t>ORNATERIOR
(Refer Quotation 07)</t>
  </si>
  <si>
    <t>SRI GK
(Refer Quotation 08)</t>
  </si>
  <si>
    <t>UNICONSYS
(Refer Quotation 09)</t>
  </si>
  <si>
    <t>BHARATH
(Refer Quotation 10)</t>
  </si>
  <si>
    <t>SAINT-GOBAIN
(Refer Quotation 11)</t>
  </si>
  <si>
    <t>FENESTA
(Refer Quotation 12)</t>
  </si>
  <si>
    <t>UNICONSYS
(Refer Quotation 13)</t>
  </si>
  <si>
    <t>ANNEXURE - 06</t>
  </si>
  <si>
    <t>Rate as per quotation (Refer ANNEXURE - 06)</t>
  </si>
  <si>
    <t xml:space="preserve">2hrs. Fire rated hollow metal doors - 
Powder Coated single leaf door of size 
900x2100mm with vision panel of size 200 x 
300mm. 
</t>
  </si>
  <si>
    <t>Electrical &amp; Solar Panel Works</t>
  </si>
  <si>
    <t>Provision for Supervision charges @5% (Including GST)</t>
  </si>
  <si>
    <t>Supervision Charges (5% of Package 2) (Including GST)</t>
  </si>
  <si>
    <t>SRI GK
(Refer Quotation 14)</t>
  </si>
  <si>
    <t xml:space="preserve">
(Refer Quotation 15)</t>
  </si>
  <si>
    <t>Partition Wall 115mm thk</t>
  </si>
  <si>
    <t xml:space="preserve">Page.No. 66 / Sch.Item.No 273 a  &amp; P. no.32 ( Annex-V lead charges )  </t>
  </si>
  <si>
    <t xml:space="preserve">Page.No. 66 / Sch.Item.No 273 b  &amp; P. no.32 ( Annex-V lead charges )  </t>
  </si>
  <si>
    <t xml:space="preserve">Page.No. 67 / Sch.Item.No 273 c  &amp; P. no.32 ( Annex-V lead charges )  </t>
  </si>
  <si>
    <t>40-80km</t>
  </si>
  <si>
    <t>Above 80km</t>
  </si>
  <si>
    <t>Cheyyar</t>
  </si>
  <si>
    <t>Security</t>
  </si>
  <si>
    <t>KW</t>
  </si>
  <si>
    <t>V1 (Security room)</t>
  </si>
  <si>
    <t>Lead rate/no</t>
  </si>
  <si>
    <t>For 600mm x 200mmx200mm thick AAC block wall - CM 1:5</t>
  </si>
  <si>
    <t>For 600mm x 100mmx 200mm thick AAC block wall - CM 1:3</t>
  </si>
  <si>
    <t>For 600mm x 150mmx 200mm thick AAC block wall - CM 1:5</t>
  </si>
  <si>
    <t>42 Nos</t>
  </si>
  <si>
    <t>83 Nos</t>
  </si>
  <si>
    <t>111 Nos</t>
  </si>
  <si>
    <t>LS provision for Matress,Curtain and Bedspread (Including GST)</t>
  </si>
  <si>
    <t>LS provision for SVA GRIHA (Including GST)</t>
  </si>
  <si>
    <t>Grand Total Amount (Package 2)</t>
  </si>
  <si>
    <t>LS provision for Culvert &amp; Borewell (Including GST)</t>
  </si>
  <si>
    <t>LEAD STATEMENT (2023 - 2024)</t>
  </si>
  <si>
    <t>PWD SR 2023-24</t>
  </si>
</sst>
</file>

<file path=xl/styles.xml><?xml version="1.0" encoding="utf-8"?>
<styleSheet xmlns="http://schemas.openxmlformats.org/spreadsheetml/2006/main">
  <numFmts count="17">
    <numFmt numFmtId="43" formatCode="_(* #,##0.00_);_(* \(#,##0.00\);_(* &quot;-&quot;??_);_(@_)"/>
    <numFmt numFmtId="164" formatCode="&quot;₹&quot;\ #,##0;&quot;₹&quot;\ \-#,##0"/>
    <numFmt numFmtId="165" formatCode="_ * #,##0.00_ ;_ * \-#,##0.00_ ;_ * &quot;-&quot;??_ ;_ @_ "/>
    <numFmt numFmtId="166" formatCode="0.000"/>
    <numFmt numFmtId="167" formatCode="_ * #,##0.000_ ;_ * \-#,##0.000_ ;_ * &quot;-&quot;??_ ;_ @_ "/>
    <numFmt numFmtId="168" formatCode="_(* #,##0_);_(* \(#,##0\);_(* &quot;-&quot;??_);_(@_)"/>
    <numFmt numFmtId="169" formatCode="_(* #,##0.0_);_(* \(#,##0.0\);_(* &quot;-&quot;??_);_(@_)"/>
    <numFmt numFmtId="170" formatCode="0.00_)"/>
    <numFmt numFmtId="171" formatCode="0.00000_)"/>
    <numFmt numFmtId="172" formatCode="0.000_)"/>
    <numFmt numFmtId="173" formatCode="0_)"/>
    <numFmt numFmtId="174" formatCode="_ * #,##0_ ;_ * \-#,##0_ ;_ * &quot;-&quot;??_ ;_ @_ "/>
    <numFmt numFmtId="175" formatCode="_ * #,##0.0_ ;_ * \-#,##0.0_ ;_ * &quot;-&quot;?_ ;_ @_ "/>
    <numFmt numFmtId="176" formatCode="_ * #,##0.0_ ;_ * \-#,##0.0_ ;_ * &quot;-&quot;??_ ;_ @_ "/>
    <numFmt numFmtId="177" formatCode="_(* #,##0.000_);_(* \(#,##0.000\);_(* &quot;-&quot;??_);_(@_)"/>
    <numFmt numFmtId="178" formatCode="_(* #,##0.0_);_(* \(#,##0.0\);_(* &quot;-&quot;?_);_(@_)"/>
    <numFmt numFmtId="179" formatCode="0.0000"/>
  </numFmts>
  <fonts count="58">
    <font>
      <sz val="11"/>
      <color theme="1"/>
      <name val="Calibri"/>
      <family val="2"/>
      <scheme val="minor"/>
    </font>
    <font>
      <sz val="11"/>
      <color theme="1"/>
      <name val="Arial"/>
      <family val="2"/>
    </font>
    <font>
      <b/>
      <sz val="11"/>
      <color theme="1"/>
      <name val="Arial"/>
      <family val="2"/>
    </font>
    <font>
      <sz val="10"/>
      <name val="Arial"/>
      <family val="2"/>
    </font>
    <font>
      <b/>
      <sz val="11"/>
      <name val="Arial"/>
      <family val="2"/>
    </font>
    <font>
      <sz val="8"/>
      <name val="Calibri"/>
      <family val="2"/>
      <scheme val="minor"/>
    </font>
    <font>
      <b/>
      <sz val="11"/>
      <color theme="1"/>
      <name val="Calibri"/>
      <family val="2"/>
      <scheme val="minor"/>
    </font>
    <font>
      <sz val="11"/>
      <color indexed="8"/>
      <name val="Calibri"/>
      <family val="2"/>
    </font>
    <font>
      <sz val="10"/>
      <color rgb="FF000000"/>
      <name val="Arial"/>
      <family val="2"/>
    </font>
    <font>
      <b/>
      <sz val="14"/>
      <name val="Arial"/>
      <family val="2"/>
    </font>
    <font>
      <sz val="14"/>
      <name val="Arial"/>
      <family val="2"/>
    </font>
    <font>
      <sz val="11"/>
      <name val="Arial"/>
      <family val="2"/>
    </font>
    <font>
      <sz val="10"/>
      <name val="Helv"/>
      <charset val="204"/>
    </font>
    <font>
      <sz val="10"/>
      <name val="Courier"/>
      <family val="3"/>
    </font>
    <font>
      <sz val="11"/>
      <color rgb="FF000000"/>
      <name val="Arial"/>
      <family val="2"/>
    </font>
    <font>
      <b/>
      <sz val="11"/>
      <color rgb="FF000000"/>
      <name val="Arial"/>
      <family val="2"/>
    </font>
    <font>
      <sz val="11"/>
      <color theme="1"/>
      <name val="Calibri"/>
      <family val="2"/>
      <scheme val="minor"/>
    </font>
    <font>
      <sz val="14"/>
      <name val="Verdana"/>
      <family val="2"/>
    </font>
    <font>
      <b/>
      <sz val="14"/>
      <color theme="1"/>
      <name val="Verdana"/>
      <family val="2"/>
    </font>
    <font>
      <sz val="14"/>
      <color theme="1"/>
      <name val="Verdana"/>
      <family val="2"/>
    </font>
    <font>
      <b/>
      <sz val="16"/>
      <color theme="1"/>
      <name val="Verdana"/>
      <family val="2"/>
    </font>
    <font>
      <sz val="12"/>
      <color theme="1"/>
      <name val="Tahoma"/>
      <family val="2"/>
    </font>
    <font>
      <sz val="10"/>
      <color rgb="FFFF0000"/>
      <name val="Arial"/>
      <family val="2"/>
    </font>
    <font>
      <sz val="10"/>
      <color theme="1"/>
      <name val="Tahoma"/>
      <family val="2"/>
    </font>
    <font>
      <b/>
      <sz val="12"/>
      <color theme="1"/>
      <name val="Tahoma"/>
      <family val="2"/>
    </font>
    <font>
      <b/>
      <sz val="12"/>
      <name val="Tahoma"/>
      <family val="2"/>
    </font>
    <font>
      <b/>
      <sz val="12"/>
      <color rgb="FF000000"/>
      <name val="Tahoma"/>
      <family val="2"/>
    </font>
    <font>
      <sz val="11"/>
      <color rgb="FF000000"/>
      <name val="Calibri"/>
      <family val="2"/>
    </font>
    <font>
      <sz val="12"/>
      <name val="Tahoma"/>
      <family val="2"/>
    </font>
    <font>
      <sz val="10"/>
      <color theme="1"/>
      <name val="Arial"/>
      <family val="2"/>
    </font>
    <font>
      <b/>
      <sz val="12"/>
      <color theme="1"/>
      <name val="Arial"/>
      <family val="2"/>
    </font>
    <font>
      <b/>
      <sz val="10"/>
      <color theme="1"/>
      <name val="Arial"/>
      <family val="2"/>
    </font>
    <font>
      <b/>
      <sz val="10"/>
      <name val="Arial"/>
      <family val="2"/>
    </font>
    <font>
      <sz val="11"/>
      <name val="Calibri"/>
      <family val="2"/>
      <scheme val="minor"/>
    </font>
    <font>
      <b/>
      <sz val="16"/>
      <name val="Arial"/>
      <family val="2"/>
    </font>
    <font>
      <sz val="12"/>
      <color theme="1"/>
      <name val="Arial"/>
      <family val="2"/>
    </font>
    <font>
      <u/>
      <sz val="14"/>
      <color theme="1"/>
      <name val="Verdana"/>
      <family val="2"/>
    </font>
    <font>
      <b/>
      <sz val="14"/>
      <name val="Verdana"/>
      <family val="2"/>
    </font>
    <font>
      <b/>
      <sz val="11"/>
      <color theme="1"/>
      <name val="Tahoma"/>
      <family val="2"/>
    </font>
    <font>
      <b/>
      <sz val="11"/>
      <name val="Tahoma"/>
      <family val="2"/>
    </font>
    <font>
      <sz val="14"/>
      <color rgb="FFFF0000"/>
      <name val="Verdana"/>
      <family val="2"/>
    </font>
    <font>
      <b/>
      <sz val="12"/>
      <name val="Arial"/>
      <family val="2"/>
    </font>
    <font>
      <b/>
      <sz val="12"/>
      <color rgb="FF000000"/>
      <name val="Arial"/>
      <family val="2"/>
    </font>
    <font>
      <sz val="11"/>
      <name val="Calibri"/>
      <family val="2"/>
    </font>
    <font>
      <b/>
      <sz val="11"/>
      <name val="Calibri"/>
      <family val="2"/>
      <scheme val="minor"/>
    </font>
    <font>
      <sz val="10"/>
      <name val="Verdana"/>
      <family val="2"/>
    </font>
    <font>
      <vertAlign val="superscript"/>
      <sz val="14"/>
      <name val="Verdana"/>
      <family val="2"/>
    </font>
    <font>
      <sz val="11"/>
      <name val="Verdana"/>
      <family val="2"/>
    </font>
    <font>
      <b/>
      <sz val="16"/>
      <name val="Verdana"/>
      <family val="2"/>
    </font>
    <font>
      <b/>
      <i/>
      <sz val="14"/>
      <name val="Verdana"/>
      <family val="2"/>
    </font>
    <font>
      <b/>
      <vertAlign val="superscript"/>
      <sz val="14"/>
      <name val="Verdana"/>
      <family val="2"/>
    </font>
    <font>
      <sz val="16"/>
      <name val="Verdana"/>
      <family val="2"/>
    </font>
    <font>
      <vertAlign val="superscript"/>
      <sz val="12"/>
      <name val="Verdana"/>
      <family val="2"/>
    </font>
    <font>
      <b/>
      <i/>
      <vertAlign val="superscript"/>
      <sz val="14"/>
      <name val="Verdana"/>
      <family val="2"/>
    </font>
    <font>
      <sz val="11"/>
      <color theme="1"/>
      <name val="Calibri "/>
    </font>
    <font>
      <b/>
      <sz val="11"/>
      <name val="Calibri "/>
    </font>
    <font>
      <sz val="11"/>
      <name val="Calibri "/>
    </font>
    <font>
      <sz val="1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rgb="FFC4BD97"/>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hair">
        <color indexed="64"/>
      </bottom>
      <diagonal/>
    </border>
  </borders>
  <cellStyleXfs count="40">
    <xf numFmtId="0" fontId="0" fillId="0" borderId="0"/>
    <xf numFmtId="0" fontId="3" fillId="0" borderId="0"/>
    <xf numFmtId="165" fontId="7"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12" fillId="0" borderId="0"/>
    <xf numFmtId="0" fontId="7" fillId="0" borderId="0"/>
    <xf numFmtId="170" fontId="13" fillId="0" borderId="0"/>
    <xf numFmtId="0" fontId="7" fillId="0" borderId="0"/>
    <xf numFmtId="43" fontId="7" fillId="0" borderId="0" applyFont="0" applyFill="0" applyBorder="0" applyAlignment="0" applyProtection="0"/>
    <xf numFmtId="9" fontId="8" fillId="0" borderId="0" applyFont="0" applyFill="0" applyBorder="0" applyAlignment="0" applyProtection="0"/>
    <xf numFmtId="43" fontId="3" fillId="0" borderId="0" applyFont="0" applyFill="0" applyBorder="0" applyAlignment="0" applyProtection="0"/>
    <xf numFmtId="0" fontId="3" fillId="0" borderId="0"/>
    <xf numFmtId="165" fontId="16" fillId="0" borderId="0" applyFont="0" applyFill="0" applyBorder="0" applyAlignment="0" applyProtection="0"/>
    <xf numFmtId="0" fontId="3" fillId="0" borderId="0"/>
    <xf numFmtId="0" fontId="7" fillId="0" borderId="0"/>
    <xf numFmtId="164" fontId="3" fillId="0" borderId="0" applyFill="0" applyBorder="0" applyAlignment="0" applyProtection="0"/>
    <xf numFmtId="0" fontId="3" fillId="0" borderId="0"/>
    <xf numFmtId="0" fontId="3" fillId="0" borderId="0"/>
    <xf numFmtId="0" fontId="3" fillId="0" borderId="0"/>
    <xf numFmtId="165" fontId="7"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4" fontId="3" fillId="0" borderId="0" applyFill="0" applyBorder="0" applyAlignment="0" applyProtection="0"/>
    <xf numFmtId="0" fontId="23" fillId="0" borderId="0"/>
    <xf numFmtId="165" fontId="23" fillId="0" borderId="0" applyFont="0" applyFill="0" applyBorder="0" applyAlignment="0" applyProtection="0"/>
    <xf numFmtId="0" fontId="27" fillId="0" borderId="0"/>
    <xf numFmtId="0" fontId="23" fillId="0" borderId="0"/>
    <xf numFmtId="0" fontId="16" fillId="0" borderId="0"/>
    <xf numFmtId="0" fontId="16" fillId="0" borderId="0"/>
    <xf numFmtId="0" fontId="23" fillId="0" borderId="0"/>
    <xf numFmtId="0" fontId="27" fillId="0" borderId="0"/>
    <xf numFmtId="43" fontId="8" fillId="0" borderId="0" applyFont="0" applyFill="0" applyBorder="0" applyAlignment="0" applyProtection="0"/>
    <xf numFmtId="43" fontId="16" fillId="0" borderId="0" applyFont="0" applyFill="0" applyBorder="0" applyAlignment="0" applyProtection="0"/>
    <xf numFmtId="0" fontId="8" fillId="0" borderId="0"/>
    <xf numFmtId="170" fontId="13" fillId="0" borderId="0"/>
    <xf numFmtId="9" fontId="16" fillId="0" borderId="0" applyFont="0" applyFill="0" applyBorder="0" applyAlignment="0" applyProtection="0"/>
  </cellStyleXfs>
  <cellXfs count="833">
    <xf numFmtId="0" fontId="0" fillId="0" borderId="0" xfId="0"/>
    <xf numFmtId="0" fontId="2" fillId="0" borderId="1" xfId="5" applyFont="1" applyBorder="1" applyAlignment="1">
      <alignment horizontal="center" vertical="center" wrapText="1"/>
    </xf>
    <xf numFmtId="9" fontId="2" fillId="0" borderId="1" xfId="5" applyNumberFormat="1" applyFont="1" applyBorder="1" applyAlignment="1">
      <alignment horizontal="center" vertical="center" wrapText="1"/>
    </xf>
    <xf numFmtId="0" fontId="14" fillId="0" borderId="0" xfId="3" applyFont="1" applyAlignment="1">
      <alignment vertical="center"/>
    </xf>
    <xf numFmtId="9" fontId="2" fillId="0" borderId="1" xfId="3" applyNumberFormat="1" applyFont="1" applyBorder="1" applyAlignment="1">
      <alignment horizontal="center" vertical="center" wrapText="1"/>
    </xf>
    <xf numFmtId="0" fontId="15" fillId="0" borderId="1" xfId="3" applyFont="1" applyBorder="1" applyAlignment="1">
      <alignment horizontal="center" vertical="center"/>
    </xf>
    <xf numFmtId="0" fontId="14" fillId="0" borderId="0" xfId="3" applyFont="1" applyAlignment="1">
      <alignment horizontal="center" vertical="center"/>
    </xf>
    <xf numFmtId="0" fontId="15" fillId="0" borderId="0" xfId="3" applyFont="1" applyAlignment="1">
      <alignment vertical="center"/>
    </xf>
    <xf numFmtId="0" fontId="19" fillId="3" borderId="1" xfId="0" applyFont="1" applyFill="1" applyBorder="1" applyAlignment="1">
      <alignment vertical="center" wrapText="1"/>
    </xf>
    <xf numFmtId="0" fontId="19" fillId="3" borderId="2" xfId="0" applyFont="1" applyFill="1" applyBorder="1" applyAlignment="1">
      <alignment vertical="center" wrapText="1"/>
    </xf>
    <xf numFmtId="0" fontId="19" fillId="3" borderId="2" xfId="0" applyFont="1" applyFill="1" applyBorder="1" applyAlignment="1">
      <alignment horizontal="center" vertical="center"/>
    </xf>
    <xf numFmtId="0" fontId="19" fillId="3" borderId="4" xfId="0" applyFont="1" applyFill="1" applyBorder="1" applyAlignment="1">
      <alignment horizontal="center" vertical="center"/>
    </xf>
    <xf numFmtId="0" fontId="19" fillId="3" borderId="3" xfId="0" applyFont="1" applyFill="1" applyBorder="1" applyAlignment="1">
      <alignment horizontal="center" vertical="center"/>
    </xf>
    <xf numFmtId="166" fontId="19" fillId="3" borderId="3" xfId="0" applyNumberFormat="1" applyFont="1" applyFill="1" applyBorder="1" applyAlignment="1">
      <alignment vertical="center"/>
    </xf>
    <xf numFmtId="166" fontId="19" fillId="3" borderId="1" xfId="0" applyNumberFormat="1" applyFont="1" applyFill="1" applyBorder="1" applyAlignment="1">
      <alignment vertical="center"/>
    </xf>
    <xf numFmtId="0" fontId="19" fillId="3" borderId="2" xfId="0" applyFont="1" applyFill="1" applyBorder="1" applyAlignment="1">
      <alignment vertical="center"/>
    </xf>
    <xf numFmtId="0" fontId="18" fillId="3" borderId="1" xfId="0" applyFont="1" applyFill="1" applyBorder="1" applyAlignment="1">
      <alignment vertical="center" wrapText="1"/>
    </xf>
    <xf numFmtId="9" fontId="4" fillId="3" borderId="1" xfId="5" applyNumberFormat="1" applyFont="1" applyFill="1" applyBorder="1" applyAlignment="1">
      <alignment horizontal="center" vertical="center" wrapText="1"/>
    </xf>
    <xf numFmtId="0" fontId="21" fillId="0" borderId="0" xfId="27" applyFont="1" applyAlignment="1">
      <alignment vertical="center"/>
    </xf>
    <xf numFmtId="0" fontId="21" fillId="3" borderId="9" xfId="27" applyFont="1" applyFill="1" applyBorder="1" applyAlignment="1">
      <alignment vertical="center" wrapText="1"/>
    </xf>
    <xf numFmtId="165" fontId="21" fillId="0" borderId="0" xfId="28" applyFont="1" applyAlignment="1">
      <alignment vertical="center"/>
    </xf>
    <xf numFmtId="165" fontId="21" fillId="0" borderId="0" xfId="27" applyNumberFormat="1" applyFont="1" applyAlignment="1">
      <alignment vertical="center"/>
    </xf>
    <xf numFmtId="165" fontId="26" fillId="4" borderId="6" xfId="14" applyFont="1" applyFill="1" applyBorder="1" applyAlignment="1">
      <alignment horizontal="center" vertical="center" wrapText="1"/>
    </xf>
    <xf numFmtId="0" fontId="26" fillId="4" borderId="6" xfId="29" applyFont="1" applyFill="1" applyBorder="1" applyAlignment="1">
      <alignment horizontal="center" vertical="center" wrapText="1"/>
    </xf>
    <xf numFmtId="0" fontId="24" fillId="3" borderId="8" xfId="27" applyFont="1" applyFill="1" applyBorder="1" applyAlignment="1">
      <alignment horizontal="center" vertical="center"/>
    </xf>
    <xf numFmtId="0" fontId="24" fillId="3" borderId="8" xfId="27" applyFont="1" applyFill="1" applyBorder="1" applyAlignment="1">
      <alignment horizontal="left" vertical="center" wrapText="1"/>
    </xf>
    <xf numFmtId="0" fontId="21" fillId="3" borderId="8" xfId="27" applyFont="1" applyFill="1" applyBorder="1" applyAlignment="1">
      <alignment horizontal="center" vertical="center"/>
    </xf>
    <xf numFmtId="165" fontId="21" fillId="3" borderId="8" xfId="28" applyFont="1" applyFill="1" applyBorder="1" applyAlignment="1">
      <alignment horizontal="center" vertical="center"/>
    </xf>
    <xf numFmtId="0" fontId="24" fillId="3" borderId="1" xfId="30" applyFont="1" applyFill="1" applyBorder="1" applyAlignment="1">
      <alignment horizontal="center" vertical="center" wrapText="1"/>
    </xf>
    <xf numFmtId="0" fontId="24" fillId="3" borderId="1" xfId="30" applyFont="1" applyFill="1" applyBorder="1" applyAlignment="1">
      <alignment horizontal="justify" vertical="center" wrapText="1"/>
    </xf>
    <xf numFmtId="0" fontId="24" fillId="3" borderId="1" xfId="30" applyFont="1" applyFill="1" applyBorder="1" applyAlignment="1">
      <alignment vertical="center"/>
    </xf>
    <xf numFmtId="0" fontId="24" fillId="3" borderId="1" xfId="30" applyFont="1" applyFill="1" applyBorder="1" applyAlignment="1">
      <alignment horizontal="center" vertical="center"/>
    </xf>
    <xf numFmtId="165" fontId="24" fillId="3" borderId="1" xfId="28" applyFont="1" applyFill="1" applyBorder="1" applyAlignment="1">
      <alignment vertical="center"/>
    </xf>
    <xf numFmtId="0" fontId="25" fillId="3" borderId="6" xfId="6" applyFont="1" applyFill="1" applyBorder="1" applyAlignment="1">
      <alignment horizontal="center" vertical="center"/>
    </xf>
    <xf numFmtId="165" fontId="25" fillId="3" borderId="6" xfId="28" applyFont="1" applyFill="1" applyBorder="1" applyAlignment="1">
      <alignment horizontal="center" vertical="center"/>
    </xf>
    <xf numFmtId="165" fontId="26" fillId="4" borderId="6" xfId="14" applyFont="1" applyFill="1" applyBorder="1" applyAlignment="1">
      <alignment horizontal="center" vertical="center"/>
    </xf>
    <xf numFmtId="0" fontId="26" fillId="4" borderId="6" xfId="29" applyFont="1" applyFill="1" applyBorder="1" applyAlignment="1">
      <alignment horizontal="center" vertical="center"/>
    </xf>
    <xf numFmtId="0" fontId="18" fillId="3" borderId="1" xfId="5" applyFont="1" applyFill="1" applyBorder="1" applyAlignment="1">
      <alignment horizontal="justify" vertical="center" wrapText="1"/>
    </xf>
    <xf numFmtId="0" fontId="19" fillId="3" borderId="1" xfId="3" applyFont="1" applyFill="1" applyBorder="1" applyAlignment="1">
      <alignment horizontal="justify" vertical="center" wrapText="1"/>
    </xf>
    <xf numFmtId="0" fontId="10" fillId="3" borderId="1" xfId="3" applyFont="1" applyFill="1" applyBorder="1" applyAlignment="1">
      <alignment vertical="center" wrapText="1"/>
    </xf>
    <xf numFmtId="174" fontId="10" fillId="3" borderId="1" xfId="14" applyNumberFormat="1" applyFont="1" applyFill="1" applyBorder="1" applyAlignment="1" applyProtection="1">
      <alignment vertical="center"/>
    </xf>
    <xf numFmtId="0" fontId="19" fillId="3" borderId="1" xfId="0" applyFont="1" applyFill="1" applyBorder="1" applyAlignment="1">
      <alignment horizontal="center" vertical="center"/>
    </xf>
    <xf numFmtId="0" fontId="18" fillId="3" borderId="1" xfId="0" applyFont="1" applyFill="1" applyBorder="1" applyAlignment="1">
      <alignment vertical="center"/>
    </xf>
    <xf numFmtId="0" fontId="19" fillId="3" borderId="1" xfId="0" applyFont="1" applyFill="1" applyBorder="1" applyAlignment="1">
      <alignment vertical="center"/>
    </xf>
    <xf numFmtId="166" fontId="18" fillId="3" borderId="1" xfId="0" applyNumberFormat="1" applyFont="1" applyFill="1" applyBorder="1" applyAlignment="1">
      <alignment vertical="center"/>
    </xf>
    <xf numFmtId="170" fontId="19" fillId="3" borderId="1" xfId="5" applyNumberFormat="1" applyFont="1" applyFill="1" applyBorder="1" applyAlignment="1">
      <alignment horizontal="justify" vertical="center" wrapText="1"/>
    </xf>
    <xf numFmtId="169" fontId="19" fillId="3" borderId="1" xfId="4" applyNumberFormat="1" applyFont="1" applyFill="1" applyBorder="1" applyAlignment="1">
      <alignment horizontal="center" vertical="center"/>
    </xf>
    <xf numFmtId="43" fontId="19" fillId="3" borderId="1" xfId="4" applyFont="1" applyFill="1" applyBorder="1" applyAlignment="1">
      <alignment horizontal="center" vertical="center" wrapText="1"/>
    </xf>
    <xf numFmtId="168" fontId="19" fillId="3" borderId="1" xfId="4" applyNumberFormat="1" applyFont="1" applyFill="1" applyBorder="1" applyAlignment="1">
      <alignment horizontal="center" vertical="center"/>
    </xf>
    <xf numFmtId="0" fontId="19" fillId="3" borderId="1" xfId="5" applyFont="1" applyFill="1" applyBorder="1" applyAlignment="1">
      <alignment horizontal="justify" vertical="center" wrapText="1"/>
    </xf>
    <xf numFmtId="168" fontId="19" fillId="3" borderId="1" xfId="0" applyNumberFormat="1" applyFont="1" applyFill="1" applyBorder="1" applyAlignment="1">
      <alignment horizontal="center" vertical="center"/>
    </xf>
    <xf numFmtId="166" fontId="18" fillId="3" borderId="1" xfId="2" applyNumberFormat="1" applyFont="1" applyFill="1" applyBorder="1" applyAlignment="1">
      <alignment vertical="center"/>
    </xf>
    <xf numFmtId="0" fontId="18" fillId="3" borderId="1" xfId="0" applyFont="1" applyFill="1" applyBorder="1" applyAlignment="1">
      <alignment horizontal="left" vertical="center"/>
    </xf>
    <xf numFmtId="0" fontId="19" fillId="3" borderId="0" xfId="0" applyFont="1" applyFill="1" applyAlignment="1">
      <alignment vertical="center"/>
    </xf>
    <xf numFmtId="166" fontId="19" fillId="3" borderId="1" xfId="0" applyNumberFormat="1" applyFont="1" applyFill="1" applyBorder="1" applyAlignment="1">
      <alignment horizontal="right" vertical="center"/>
    </xf>
    <xf numFmtId="0" fontId="18" fillId="3" borderId="1" xfId="1" applyFont="1" applyFill="1" applyBorder="1" applyAlignment="1">
      <alignment horizontal="right" vertical="center" wrapText="1"/>
    </xf>
    <xf numFmtId="0" fontId="19" fillId="3" borderId="1" xfId="6" applyFont="1" applyFill="1" applyBorder="1" applyAlignment="1">
      <alignment horizontal="justify" vertical="center" wrapText="1"/>
    </xf>
    <xf numFmtId="0" fontId="29" fillId="0" borderId="0" xfId="0" applyFont="1"/>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1" fillId="0" borderId="0" xfId="0" applyFont="1" applyAlignment="1">
      <alignment horizontal="center" vertical="center"/>
    </xf>
    <xf numFmtId="0" fontId="29" fillId="0" borderId="1" xfId="0" applyFont="1" applyBorder="1" applyAlignment="1">
      <alignment horizontal="center"/>
    </xf>
    <xf numFmtId="0" fontId="3" fillId="0" borderId="1" xfId="0" applyFont="1" applyBorder="1"/>
    <xf numFmtId="0" fontId="33" fillId="0" borderId="1" xfId="32" applyFont="1" applyBorder="1"/>
    <xf numFmtId="0" fontId="1" fillId="0" borderId="0" xfId="31" applyFont="1"/>
    <xf numFmtId="0" fontId="16" fillId="0" borderId="0" xfId="31"/>
    <xf numFmtId="0" fontId="29" fillId="2" borderId="0" xfId="0" applyFont="1" applyFill="1"/>
    <xf numFmtId="0" fontId="29" fillId="0" borderId="0" xfId="0" applyFont="1" applyAlignment="1">
      <alignment horizontal="center"/>
    </xf>
    <xf numFmtId="0" fontId="3" fillId="0" borderId="0" xfId="0" applyFont="1"/>
    <xf numFmtId="0" fontId="22" fillId="0" borderId="0" xfId="0" applyFont="1"/>
    <xf numFmtId="0" fontId="1" fillId="0" borderId="1" xfId="32" applyFont="1" applyBorder="1"/>
    <xf numFmtId="0" fontId="19" fillId="3" borderId="0" xfId="5" applyFont="1" applyFill="1" applyAlignment="1">
      <alignment vertical="center"/>
    </xf>
    <xf numFmtId="0" fontId="18" fillId="3" borderId="1" xfId="5" applyFont="1" applyFill="1" applyBorder="1" applyAlignment="1">
      <alignment horizontal="center" vertical="center" wrapText="1"/>
    </xf>
    <xf numFmtId="169" fontId="18" fillId="3" borderId="1" xfId="4" applyNumberFormat="1" applyFont="1" applyFill="1" applyBorder="1" applyAlignment="1">
      <alignment horizontal="center" vertical="center"/>
    </xf>
    <xf numFmtId="0" fontId="18" fillId="3" borderId="1" xfId="5" applyFont="1" applyFill="1" applyBorder="1" applyAlignment="1">
      <alignment horizontal="center" vertical="center"/>
    </xf>
    <xf numFmtId="43" fontId="18" fillId="3" borderId="1" xfId="4" applyFont="1" applyFill="1" applyBorder="1" applyAlignment="1">
      <alignment horizontal="center" vertical="center"/>
    </xf>
    <xf numFmtId="168" fontId="18" fillId="3" borderId="1" xfId="4" applyNumberFormat="1" applyFont="1" applyFill="1" applyBorder="1" applyAlignment="1">
      <alignment horizontal="center" vertical="center" wrapText="1"/>
    </xf>
    <xf numFmtId="0" fontId="19" fillId="3" borderId="1" xfId="5" applyFont="1" applyFill="1" applyBorder="1" applyAlignment="1">
      <alignment horizontal="center" vertical="center"/>
    </xf>
    <xf numFmtId="0" fontId="19" fillId="3" borderId="1" xfId="3" applyFont="1" applyFill="1" applyBorder="1" applyAlignment="1">
      <alignment horizontal="justify" vertical="top" wrapText="1"/>
    </xf>
    <xf numFmtId="43" fontId="19" fillId="3" borderId="1" xfId="4" applyFont="1" applyFill="1" applyBorder="1" applyAlignment="1">
      <alignment horizontal="center" vertical="center"/>
    </xf>
    <xf numFmtId="0" fontId="19" fillId="3" borderId="1" xfId="5" applyFont="1" applyFill="1" applyBorder="1" applyAlignment="1">
      <alignment horizontal="justify" vertical="center"/>
    </xf>
    <xf numFmtId="0" fontId="18" fillId="3" borderId="1" xfId="5" applyFont="1" applyFill="1" applyBorder="1" applyAlignment="1">
      <alignment horizontal="right" vertical="center" wrapText="1"/>
    </xf>
    <xf numFmtId="168" fontId="18" fillId="3" borderId="1" xfId="4" applyNumberFormat="1" applyFont="1" applyFill="1" applyBorder="1" applyAlignment="1">
      <alignment horizontal="center" vertical="center"/>
    </xf>
    <xf numFmtId="169" fontId="19" fillId="3" borderId="1" xfId="4" applyNumberFormat="1" applyFont="1" applyFill="1" applyBorder="1" applyAlignment="1">
      <alignment vertical="center"/>
    </xf>
    <xf numFmtId="174" fontId="19" fillId="3" borderId="1" xfId="14" applyNumberFormat="1" applyFont="1" applyFill="1" applyBorder="1" applyAlignment="1">
      <alignment horizontal="center" vertical="center"/>
    </xf>
    <xf numFmtId="0" fontId="18" fillId="3" borderId="1" xfId="5" applyFont="1" applyFill="1" applyBorder="1" applyAlignment="1">
      <alignment horizontal="justify" vertical="center"/>
    </xf>
    <xf numFmtId="168" fontId="19" fillId="3" borderId="0" xfId="5" applyNumberFormat="1" applyFont="1" applyFill="1" applyAlignment="1">
      <alignment vertical="center"/>
    </xf>
    <xf numFmtId="0" fontId="19" fillId="3" borderId="0" xfId="3" applyFont="1" applyFill="1" applyAlignment="1">
      <alignment horizontal="justify" vertical="center" wrapText="1"/>
    </xf>
    <xf numFmtId="176" fontId="19" fillId="3" borderId="1" xfId="14" applyNumberFormat="1" applyFont="1" applyFill="1" applyBorder="1" applyAlignment="1">
      <alignment horizontal="center" vertical="center"/>
    </xf>
    <xf numFmtId="170" fontId="18" fillId="3" borderId="1" xfId="5" applyNumberFormat="1" applyFont="1" applyFill="1" applyBorder="1" applyAlignment="1">
      <alignment horizontal="justify" vertical="center" wrapText="1"/>
    </xf>
    <xf numFmtId="0" fontId="18" fillId="3" borderId="1" xfId="5" applyFont="1" applyFill="1" applyBorder="1" applyAlignment="1">
      <alignment horizontal="left" vertical="center" wrapText="1"/>
    </xf>
    <xf numFmtId="0" fontId="19" fillId="3" borderId="1" xfId="7" applyFont="1" applyFill="1" applyBorder="1" applyAlignment="1">
      <alignment horizontal="justify" vertical="center" wrapText="1"/>
    </xf>
    <xf numFmtId="175" fontId="19" fillId="3" borderId="0" xfId="5" applyNumberFormat="1" applyFont="1" applyFill="1" applyAlignment="1">
      <alignment vertical="center"/>
    </xf>
    <xf numFmtId="0" fontId="18" fillId="3" borderId="1" xfId="3" applyFont="1" applyFill="1" applyBorder="1" applyAlignment="1">
      <alignment horizontal="justify" vertical="center" wrapText="1"/>
    </xf>
    <xf numFmtId="0" fontId="19" fillId="3" borderId="0" xfId="5" applyFont="1" applyFill="1" applyAlignment="1">
      <alignment horizontal="center" vertical="center"/>
    </xf>
    <xf numFmtId="169" fontId="19" fillId="3" borderId="0" xfId="4" applyNumberFormat="1" applyFont="1" applyFill="1" applyAlignment="1">
      <alignment vertical="center"/>
    </xf>
    <xf numFmtId="168" fontId="19" fillId="3" borderId="0" xfId="4" applyNumberFormat="1" applyFont="1" applyFill="1" applyAlignment="1">
      <alignment vertical="center"/>
    </xf>
    <xf numFmtId="0" fontId="18" fillId="3" borderId="1" xfId="0" applyFont="1" applyFill="1" applyBorder="1" applyAlignment="1">
      <alignment horizontal="center" vertical="center"/>
    </xf>
    <xf numFmtId="167" fontId="19" fillId="3" borderId="1" xfId="14" applyNumberFormat="1" applyFont="1" applyFill="1" applyBorder="1" applyAlignment="1">
      <alignment horizontal="right" vertical="center"/>
    </xf>
    <xf numFmtId="166" fontId="19" fillId="3" borderId="1" xfId="2" applyNumberFormat="1" applyFont="1" applyFill="1" applyBorder="1" applyAlignment="1">
      <alignment horizontal="right" vertical="center"/>
    </xf>
    <xf numFmtId="0" fontId="18" fillId="3" borderId="2" xfId="0" applyFont="1" applyFill="1" applyBorder="1" applyAlignment="1">
      <alignment vertical="center"/>
    </xf>
    <xf numFmtId="0" fontId="18" fillId="3" borderId="1" xfId="0" applyFont="1" applyFill="1" applyBorder="1" applyAlignment="1">
      <alignment horizontal="center" vertical="center" wrapText="1"/>
    </xf>
    <xf numFmtId="165" fontId="19" fillId="3" borderId="0" xfId="14" applyFont="1" applyFill="1" applyBorder="1" applyAlignment="1">
      <alignment vertical="center"/>
    </xf>
    <xf numFmtId="165" fontId="19" fillId="3" borderId="0" xfId="14" applyFont="1" applyFill="1" applyAlignment="1">
      <alignment vertical="center"/>
    </xf>
    <xf numFmtId="166" fontId="19" fillId="3" borderId="4" xfId="0" applyNumberFormat="1" applyFont="1" applyFill="1" applyBorder="1" applyAlignment="1">
      <alignment vertical="center"/>
    </xf>
    <xf numFmtId="0" fontId="19" fillId="3" borderId="0" xfId="0" applyFont="1" applyFill="1" applyAlignment="1">
      <alignment horizontal="center" vertical="center"/>
    </xf>
    <xf numFmtId="0" fontId="19" fillId="3" borderId="0" xfId="0" applyFont="1" applyFill="1" applyAlignment="1">
      <alignment vertical="center" wrapText="1"/>
    </xf>
    <xf numFmtId="2" fontId="19" fillId="3" borderId="1" xfId="0" applyNumberFormat="1" applyFont="1" applyFill="1" applyBorder="1" applyAlignment="1">
      <alignment vertical="center"/>
    </xf>
    <xf numFmtId="0" fontId="18" fillId="3" borderId="0" xfId="0" applyFont="1" applyFill="1" applyAlignment="1">
      <alignment vertical="center"/>
    </xf>
    <xf numFmtId="165" fontId="18" fillId="3" borderId="0" xfId="14" applyFont="1" applyFill="1" applyBorder="1" applyAlignment="1">
      <alignment vertical="center"/>
    </xf>
    <xf numFmtId="165" fontId="18" fillId="3" borderId="0" xfId="14" applyFont="1" applyFill="1" applyAlignment="1">
      <alignment vertical="center"/>
    </xf>
    <xf numFmtId="0" fontId="18" fillId="3" borderId="0" xfId="0" applyFont="1" applyFill="1" applyAlignment="1">
      <alignment horizontal="center" vertical="center"/>
    </xf>
    <xf numFmtId="165" fontId="18" fillId="3" borderId="0" xfId="14" applyFont="1" applyFill="1" applyBorder="1" applyAlignment="1">
      <alignment horizontal="center" vertical="center"/>
    </xf>
    <xf numFmtId="165" fontId="18" fillId="3" borderId="0" xfId="14" applyFont="1" applyFill="1" applyAlignment="1">
      <alignment horizontal="center" vertical="center"/>
    </xf>
    <xf numFmtId="166" fontId="19" fillId="3" borderId="0" xfId="0" applyNumberFormat="1" applyFont="1" applyFill="1" applyAlignment="1">
      <alignment horizontal="right" vertical="center"/>
    </xf>
    <xf numFmtId="166" fontId="19" fillId="3" borderId="0" xfId="14" applyNumberFormat="1" applyFont="1" applyFill="1" applyBorder="1" applyAlignment="1">
      <alignment horizontal="right" vertical="center"/>
    </xf>
    <xf numFmtId="43" fontId="19" fillId="3" borderId="0" xfId="0" applyNumberFormat="1" applyFont="1" applyFill="1" applyAlignment="1">
      <alignment vertical="center"/>
    </xf>
    <xf numFmtId="166" fontId="19" fillId="3" borderId="0" xfId="0" applyNumberFormat="1" applyFont="1" applyFill="1" applyAlignment="1">
      <alignment vertical="center"/>
    </xf>
    <xf numFmtId="166" fontId="19" fillId="3" borderId="0" xfId="2" applyNumberFormat="1" applyFont="1" applyFill="1" applyBorder="1" applyAlignment="1">
      <alignment vertical="center"/>
    </xf>
    <xf numFmtId="0" fontId="19" fillId="3" borderId="12" xfId="0" applyFont="1" applyFill="1" applyBorder="1" applyAlignment="1">
      <alignment horizontal="center" vertical="center"/>
    </xf>
    <xf numFmtId="0" fontId="19" fillId="3" borderId="13" xfId="0" applyFont="1" applyFill="1" applyBorder="1" applyAlignment="1">
      <alignment horizontal="center" vertical="center"/>
    </xf>
    <xf numFmtId="0" fontId="19" fillId="3" borderId="11" xfId="0" applyFont="1" applyFill="1" applyBorder="1" applyAlignment="1">
      <alignment horizontal="center" vertical="center"/>
    </xf>
    <xf numFmtId="0" fontId="14" fillId="3" borderId="1" xfId="3" applyFont="1" applyFill="1" applyBorder="1" applyAlignment="1">
      <alignment vertical="center"/>
    </xf>
    <xf numFmtId="0" fontId="11" fillId="3" borderId="1" xfId="5" applyFont="1" applyFill="1" applyBorder="1" applyAlignment="1">
      <alignment horizontal="left" vertical="center" wrapText="1"/>
    </xf>
    <xf numFmtId="165" fontId="11" fillId="3" borderId="1" xfId="14" applyFont="1" applyFill="1" applyBorder="1" applyAlignment="1">
      <alignment horizontal="center" vertical="center" wrapText="1"/>
    </xf>
    <xf numFmtId="176" fontId="11" fillId="3" borderId="1" xfId="14" applyNumberFormat="1" applyFont="1" applyFill="1" applyBorder="1" applyAlignment="1">
      <alignment horizontal="center" vertical="center" wrapText="1"/>
    </xf>
    <xf numFmtId="0" fontId="1" fillId="3" borderId="1" xfId="5" applyFont="1" applyFill="1" applyBorder="1" applyAlignment="1">
      <alignment vertical="center" wrapText="1"/>
    </xf>
    <xf numFmtId="0" fontId="14" fillId="3" borderId="1" xfId="3" applyFont="1" applyFill="1" applyBorder="1" applyAlignment="1">
      <alignment horizontal="center" vertical="center"/>
    </xf>
    <xf numFmtId="0" fontId="1" fillId="3" borderId="1" xfId="5" applyFont="1" applyFill="1" applyBorder="1" applyAlignment="1">
      <alignment horizontal="left" vertical="center" wrapText="1"/>
    </xf>
    <xf numFmtId="9" fontId="1" fillId="3" borderId="1" xfId="3" applyNumberFormat="1" applyFont="1" applyFill="1" applyBorder="1" applyAlignment="1">
      <alignment horizontal="center" vertical="center" wrapText="1"/>
    </xf>
    <xf numFmtId="9" fontId="1" fillId="3" borderId="1" xfId="5" applyNumberFormat="1" applyFont="1" applyFill="1" applyBorder="1" applyAlignment="1">
      <alignment horizontal="center" vertical="center" wrapText="1"/>
    </xf>
    <xf numFmtId="0" fontId="1" fillId="3" borderId="1" xfId="5" applyFont="1" applyFill="1" applyBorder="1" applyAlignment="1">
      <alignment horizontal="center" vertical="center" wrapText="1"/>
    </xf>
    <xf numFmtId="2" fontId="11" fillId="3" borderId="1" xfId="3" applyNumberFormat="1" applyFont="1" applyFill="1" applyBorder="1" applyAlignment="1">
      <alignment horizontal="center" vertical="center" wrapText="1"/>
    </xf>
    <xf numFmtId="1" fontId="11" fillId="3" borderId="1" xfId="3" applyNumberFormat="1" applyFont="1" applyFill="1" applyBorder="1" applyAlignment="1">
      <alignment horizontal="center" vertical="center" wrapText="1"/>
    </xf>
    <xf numFmtId="0" fontId="11" fillId="3" borderId="1" xfId="5" applyFont="1" applyFill="1" applyBorder="1" applyAlignment="1">
      <alignment vertical="center" wrapText="1"/>
    </xf>
    <xf numFmtId="0" fontId="11" fillId="3" borderId="1" xfId="5" applyFont="1" applyFill="1" applyBorder="1" applyAlignment="1">
      <alignment horizontal="center" vertical="center" wrapText="1"/>
    </xf>
    <xf numFmtId="0" fontId="18" fillId="3" borderId="3" xfId="0" applyFont="1" applyFill="1" applyBorder="1" applyAlignment="1">
      <alignment vertical="center"/>
    </xf>
    <xf numFmtId="165" fontId="19" fillId="3" borderId="1" xfId="14" applyFont="1" applyFill="1" applyBorder="1" applyAlignment="1">
      <alignment vertical="center" wrapText="1"/>
    </xf>
    <xf numFmtId="0" fontId="19" fillId="3" borderId="4" xfId="0" applyFont="1" applyFill="1" applyBorder="1" applyAlignment="1">
      <alignment vertical="center" wrapText="1"/>
    </xf>
    <xf numFmtId="0" fontId="21" fillId="3" borderId="0" xfId="27" applyFont="1" applyFill="1" applyAlignment="1">
      <alignment vertical="center"/>
    </xf>
    <xf numFmtId="165" fontId="24" fillId="3" borderId="1" xfId="14" applyFont="1" applyFill="1" applyBorder="1" applyAlignment="1">
      <alignment vertical="center"/>
    </xf>
    <xf numFmtId="165" fontId="21" fillId="3" borderId="0" xfId="28" applyFont="1" applyFill="1" applyAlignment="1">
      <alignment vertical="center"/>
    </xf>
    <xf numFmtId="165" fontId="21" fillId="3" borderId="0" xfId="14" applyFont="1" applyFill="1" applyAlignment="1">
      <alignment vertical="center"/>
    </xf>
    <xf numFmtId="0" fontId="25" fillId="3" borderId="0" xfId="29" applyFont="1" applyFill="1" applyAlignment="1">
      <alignment horizontal="center" vertical="center"/>
    </xf>
    <xf numFmtId="165" fontId="25" fillId="3" borderId="0" xfId="14" applyFont="1" applyFill="1" applyBorder="1" applyAlignment="1">
      <alignment horizontal="center" vertical="center"/>
    </xf>
    <xf numFmtId="0" fontId="24" fillId="3" borderId="0" xfId="29" applyFont="1" applyFill="1" applyAlignment="1">
      <alignment horizontal="center" vertical="center"/>
    </xf>
    <xf numFmtId="165" fontId="21" fillId="3" borderId="0" xfId="14" applyFont="1" applyFill="1" applyBorder="1" applyAlignment="1">
      <alignment vertical="center" wrapText="1"/>
    </xf>
    <xf numFmtId="165" fontId="21" fillId="3" borderId="0" xfId="27" applyNumberFormat="1" applyFont="1" applyFill="1" applyAlignment="1">
      <alignment vertical="center"/>
    </xf>
    <xf numFmtId="0" fontId="21" fillId="3" borderId="0" xfId="0" applyFont="1" applyFill="1"/>
    <xf numFmtId="0" fontId="25" fillId="3" borderId="7" xfId="6" applyFont="1" applyFill="1" applyBorder="1" applyAlignment="1">
      <alignment horizontal="center" vertical="center" wrapText="1"/>
    </xf>
    <xf numFmtId="0" fontId="24" fillId="3" borderId="8" xfId="33" applyFont="1" applyFill="1" applyBorder="1" applyAlignment="1">
      <alignment vertical="center"/>
    </xf>
    <xf numFmtId="165" fontId="25" fillId="3" borderId="7" xfId="28" applyFont="1" applyFill="1" applyBorder="1" applyAlignment="1">
      <alignment horizontal="center" vertical="center" wrapText="1"/>
    </xf>
    <xf numFmtId="0" fontId="21" fillId="3" borderId="0" xfId="0" applyFont="1" applyFill="1" applyAlignment="1">
      <alignment vertical="center"/>
    </xf>
    <xf numFmtId="165" fontId="21" fillId="3" borderId="7" xfId="14" applyFont="1" applyFill="1" applyBorder="1" applyAlignment="1">
      <alignment vertical="center"/>
    </xf>
    <xf numFmtId="165" fontId="21" fillId="3" borderId="0" xfId="0" applyNumberFormat="1" applyFont="1" applyFill="1" applyAlignment="1">
      <alignment vertical="center"/>
    </xf>
    <xf numFmtId="0" fontId="21" fillId="3" borderId="1" xfId="0" applyFont="1" applyFill="1" applyBorder="1" applyAlignment="1">
      <alignment horizontal="center" vertical="center"/>
    </xf>
    <xf numFmtId="0" fontId="24" fillId="3" borderId="1" xfId="0" applyFont="1" applyFill="1" applyBorder="1" applyAlignment="1">
      <alignment vertical="center" wrapText="1"/>
    </xf>
    <xf numFmtId="0" fontId="24" fillId="3" borderId="1" xfId="0" applyFont="1" applyFill="1" applyBorder="1" applyAlignment="1">
      <alignment horizontal="center" vertical="center"/>
    </xf>
    <xf numFmtId="0" fontId="21" fillId="3" borderId="1" xfId="0" applyFont="1" applyFill="1" applyBorder="1" applyAlignment="1">
      <alignment vertical="center"/>
    </xf>
    <xf numFmtId="0" fontId="21" fillId="3" borderId="0" xfId="0" applyFont="1" applyFill="1" applyAlignment="1">
      <alignment wrapText="1"/>
    </xf>
    <xf numFmtId="0" fontId="21" fillId="3" borderId="0" xfId="0" applyFont="1" applyFill="1" applyAlignment="1">
      <alignment horizontal="center"/>
    </xf>
    <xf numFmtId="165" fontId="21" fillId="3" borderId="0" xfId="14" applyFont="1" applyFill="1"/>
    <xf numFmtId="0" fontId="39" fillId="3" borderId="0" xfId="29" applyFont="1" applyFill="1" applyAlignment="1">
      <alignment horizontal="center" vertical="center"/>
    </xf>
    <xf numFmtId="165" fontId="21" fillId="3" borderId="0" xfId="14" applyFont="1" applyFill="1" applyBorder="1"/>
    <xf numFmtId="0" fontId="37" fillId="3" borderId="1" xfId="6" applyFont="1" applyFill="1" applyBorder="1" applyAlignment="1">
      <alignment horizontal="justify" vertical="center" wrapText="1"/>
    </xf>
    <xf numFmtId="165" fontId="19" fillId="3" borderId="1" xfId="14" applyFont="1" applyFill="1" applyBorder="1" applyAlignment="1">
      <alignment horizontal="center" vertical="center"/>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7" fillId="3" borderId="1" xfId="5" applyFont="1" applyFill="1" applyBorder="1" applyAlignment="1">
      <alignment horizontal="center" vertical="center"/>
    </xf>
    <xf numFmtId="2" fontId="17" fillId="3" borderId="1" xfId="5" applyNumberFormat="1" applyFont="1" applyFill="1" applyBorder="1" applyAlignment="1">
      <alignment horizontal="center" vertical="center"/>
    </xf>
    <xf numFmtId="170" fontId="17" fillId="3" borderId="1" xfId="5" applyNumberFormat="1" applyFont="1" applyFill="1" applyBorder="1" applyAlignment="1">
      <alignment horizontal="center" vertical="center"/>
    </xf>
    <xf numFmtId="43" fontId="37" fillId="3" borderId="1" xfId="4" applyFont="1" applyFill="1" applyBorder="1" applyAlignment="1">
      <alignment vertical="center"/>
    </xf>
    <xf numFmtId="165" fontId="17" fillId="3" borderId="1" xfId="14" applyFont="1" applyFill="1" applyBorder="1" applyAlignment="1">
      <alignment horizontal="center" vertical="center"/>
    </xf>
    <xf numFmtId="0" fontId="37" fillId="3" borderId="1" xfId="0" applyFont="1" applyFill="1" applyBorder="1" applyAlignment="1">
      <alignment vertical="center" wrapText="1"/>
    </xf>
    <xf numFmtId="0" fontId="17" fillId="3" borderId="1" xfId="5" applyFont="1" applyFill="1" applyBorder="1" applyAlignment="1">
      <alignment horizontal="center" vertical="center" wrapText="1"/>
    </xf>
    <xf numFmtId="0" fontId="17" fillId="3" borderId="1" xfId="5" applyFont="1" applyFill="1" applyBorder="1" applyAlignment="1">
      <alignment horizontal="left" vertical="center" wrapText="1"/>
    </xf>
    <xf numFmtId="0" fontId="19" fillId="3" borderId="1" xfId="3" applyFont="1" applyFill="1" applyBorder="1" applyAlignment="1">
      <alignment horizontal="center" vertical="center" wrapText="1"/>
    </xf>
    <xf numFmtId="2" fontId="17" fillId="3" borderId="1" xfId="5" applyNumberFormat="1" applyFont="1" applyFill="1" applyBorder="1" applyAlignment="1">
      <alignment horizontal="center" vertical="center" wrapText="1"/>
    </xf>
    <xf numFmtId="0" fontId="17" fillId="3" borderId="1" xfId="5" applyFont="1" applyFill="1" applyBorder="1" applyAlignment="1">
      <alignment vertical="center" wrapText="1"/>
    </xf>
    <xf numFmtId="0" fontId="17" fillId="3" borderId="1" xfId="3" applyFont="1" applyFill="1" applyBorder="1" applyAlignment="1">
      <alignment horizontal="center" vertical="center" wrapText="1"/>
    </xf>
    <xf numFmtId="0" fontId="14" fillId="3" borderId="0" xfId="3" applyFont="1" applyFill="1" applyAlignment="1">
      <alignment vertical="center" wrapText="1"/>
    </xf>
    <xf numFmtId="0" fontId="15" fillId="3" borderId="1" xfId="3" applyFont="1" applyFill="1" applyBorder="1" applyAlignment="1">
      <alignment horizontal="center" vertical="center"/>
    </xf>
    <xf numFmtId="0" fontId="2" fillId="3" borderId="1" xfId="5" applyFont="1" applyFill="1" applyBorder="1" applyAlignment="1">
      <alignment horizontal="center" vertical="center" wrapText="1"/>
    </xf>
    <xf numFmtId="9" fontId="2" fillId="3" borderId="1" xfId="3" applyNumberFormat="1" applyFont="1" applyFill="1" applyBorder="1" applyAlignment="1">
      <alignment horizontal="center" vertical="center" wrapText="1"/>
    </xf>
    <xf numFmtId="9" fontId="2" fillId="3" borderId="1" xfId="5" applyNumberFormat="1" applyFont="1" applyFill="1" applyBorder="1" applyAlignment="1">
      <alignment horizontal="center" vertical="center" wrapText="1"/>
    </xf>
    <xf numFmtId="0" fontId="14" fillId="3" borderId="0" xfId="3" applyFont="1" applyFill="1" applyAlignment="1">
      <alignment vertical="center"/>
    </xf>
    <xf numFmtId="0" fontId="11" fillId="3" borderId="1" xfId="3" applyFont="1" applyFill="1" applyBorder="1" applyAlignment="1">
      <alignment horizontal="left" vertical="center" wrapText="1"/>
    </xf>
    <xf numFmtId="165" fontId="1" fillId="3" borderId="1" xfId="14" applyFont="1" applyFill="1" applyBorder="1" applyAlignment="1">
      <alignment horizontal="center" vertical="center" wrapText="1"/>
    </xf>
    <xf numFmtId="0" fontId="2" fillId="3" borderId="1" xfId="5" applyFont="1" applyFill="1" applyBorder="1" applyAlignment="1">
      <alignment horizontal="left" vertical="center" wrapText="1"/>
    </xf>
    <xf numFmtId="0" fontId="4" fillId="3" borderId="1" xfId="5" applyFont="1" applyFill="1" applyBorder="1" applyAlignment="1">
      <alignment horizontal="left" vertical="center" wrapText="1"/>
    </xf>
    <xf numFmtId="165" fontId="1" fillId="3" borderId="1" xfId="14" applyFont="1" applyFill="1" applyBorder="1" applyAlignment="1">
      <alignment vertical="center" wrapText="1"/>
    </xf>
    <xf numFmtId="0" fontId="14" fillId="3" borderId="0" xfId="3" applyFont="1" applyFill="1" applyAlignment="1">
      <alignment horizontal="center" vertical="center"/>
    </xf>
    <xf numFmtId="165" fontId="17" fillId="3" borderId="1" xfId="14" applyFont="1" applyFill="1" applyBorder="1" applyAlignment="1">
      <alignment horizontal="center" vertical="center" wrapText="1"/>
    </xf>
    <xf numFmtId="43" fontId="37" fillId="3" borderId="1" xfId="4" applyFont="1" applyFill="1" applyBorder="1" applyAlignment="1">
      <alignment vertical="center" wrapText="1"/>
    </xf>
    <xf numFmtId="170" fontId="17" fillId="3" borderId="1" xfId="5" applyNumberFormat="1" applyFont="1" applyFill="1" applyBorder="1" applyAlignment="1">
      <alignment horizontal="center" vertical="center" wrapText="1"/>
    </xf>
    <xf numFmtId="43" fontId="17" fillId="3" borderId="1" xfId="4" applyFont="1" applyFill="1" applyBorder="1" applyAlignment="1">
      <alignment vertical="center"/>
    </xf>
    <xf numFmtId="169" fontId="40" fillId="3" borderId="1" xfId="4" applyNumberFormat="1" applyFont="1" applyFill="1" applyBorder="1" applyAlignment="1">
      <alignment horizontal="center" vertical="center"/>
    </xf>
    <xf numFmtId="169" fontId="17" fillId="3" borderId="1" xfId="4" applyNumberFormat="1" applyFont="1" applyFill="1" applyBorder="1" applyAlignment="1">
      <alignment horizontal="center" vertical="center"/>
    </xf>
    <xf numFmtId="0" fontId="41" fillId="3" borderId="6" xfId="6" applyFont="1" applyFill="1" applyBorder="1" applyAlignment="1">
      <alignment horizontal="center" vertical="center" wrapText="1"/>
    </xf>
    <xf numFmtId="165" fontId="41" fillId="3" borderId="6" xfId="28" applyFont="1" applyFill="1" applyBorder="1" applyAlignment="1">
      <alignment horizontal="center" vertical="center"/>
    </xf>
    <xf numFmtId="165" fontId="42" fillId="4" borderId="6" xfId="14" applyFont="1" applyFill="1" applyBorder="1" applyAlignment="1">
      <alignment horizontal="center" vertical="center" wrapText="1"/>
    </xf>
    <xf numFmtId="0" fontId="42" fillId="4" borderId="6" xfId="29" applyFont="1" applyFill="1" applyBorder="1" applyAlignment="1">
      <alignment horizontal="center" vertical="center" wrapText="1"/>
    </xf>
    <xf numFmtId="0" fontId="30" fillId="3" borderId="8" xfId="27" applyFont="1" applyFill="1" applyBorder="1" applyAlignment="1">
      <alignment horizontal="center" vertical="center"/>
    </xf>
    <xf numFmtId="0" fontId="30" fillId="3" borderId="8" xfId="27" applyFont="1" applyFill="1" applyBorder="1" applyAlignment="1">
      <alignment horizontal="left" vertical="center" wrapText="1"/>
    </xf>
    <xf numFmtId="0" fontId="35" fillId="3" borderId="8" xfId="27" applyFont="1" applyFill="1" applyBorder="1" applyAlignment="1">
      <alignment horizontal="center" vertical="center"/>
    </xf>
    <xf numFmtId="165" fontId="35" fillId="3" borderId="8" xfId="28" applyFont="1" applyFill="1" applyBorder="1" applyAlignment="1">
      <alignment horizontal="center" vertical="center"/>
    </xf>
    <xf numFmtId="0" fontId="30" fillId="3" borderId="1" xfId="30" applyFont="1" applyFill="1" applyBorder="1" applyAlignment="1">
      <alignment horizontal="center" vertical="center" wrapText="1"/>
    </xf>
    <xf numFmtId="0" fontId="30" fillId="3" borderId="1" xfId="30" applyFont="1" applyFill="1" applyBorder="1" applyAlignment="1">
      <alignment horizontal="justify" vertical="center" wrapText="1"/>
    </xf>
    <xf numFmtId="0" fontId="30" fillId="3" borderId="1" xfId="30" applyFont="1" applyFill="1" applyBorder="1" applyAlignment="1">
      <alignment vertical="center"/>
    </xf>
    <xf numFmtId="0" fontId="30" fillId="3" borderId="1" xfId="30" applyFont="1" applyFill="1" applyBorder="1" applyAlignment="1">
      <alignment horizontal="center" vertical="center"/>
    </xf>
    <xf numFmtId="165" fontId="30" fillId="3" borderId="1" xfId="28" applyFont="1" applyFill="1" applyBorder="1" applyAlignment="1">
      <alignment vertical="center"/>
    </xf>
    <xf numFmtId="0" fontId="21" fillId="3" borderId="1" xfId="0" applyFont="1" applyFill="1" applyBorder="1" applyAlignment="1">
      <alignment vertical="center" wrapText="1"/>
    </xf>
    <xf numFmtId="165" fontId="21" fillId="3" borderId="1" xfId="14" applyFont="1" applyFill="1" applyBorder="1" applyAlignment="1">
      <alignment vertical="center"/>
    </xf>
    <xf numFmtId="165" fontId="21" fillId="3" borderId="1" xfId="0" applyNumberFormat="1" applyFont="1" applyFill="1" applyBorder="1" applyAlignment="1">
      <alignment vertical="center"/>
    </xf>
    <xf numFmtId="43" fontId="17" fillId="3" borderId="1" xfId="4" applyFont="1" applyFill="1" applyBorder="1" applyAlignment="1">
      <alignment horizontal="center" vertical="center"/>
    </xf>
    <xf numFmtId="0" fontId="28" fillId="3" borderId="7" xfId="27" applyFont="1" applyFill="1" applyBorder="1" applyAlignment="1">
      <alignment horizontal="center" vertical="top" wrapText="1"/>
    </xf>
    <xf numFmtId="0" fontId="28" fillId="3" borderId="7" xfId="27" applyFont="1" applyFill="1" applyBorder="1" applyAlignment="1">
      <alignment vertical="top" wrapText="1"/>
    </xf>
    <xf numFmtId="0" fontId="21" fillId="3" borderId="7" xfId="27" applyFont="1" applyFill="1" applyBorder="1" applyAlignment="1">
      <alignment horizontal="center" vertical="center"/>
    </xf>
    <xf numFmtId="165" fontId="21" fillId="3" borderId="7" xfId="28" applyFont="1" applyFill="1" applyBorder="1" applyAlignment="1">
      <alignment horizontal="center" vertical="center"/>
    </xf>
    <xf numFmtId="165" fontId="21" fillId="3" borderId="7" xfId="28" applyFont="1" applyFill="1" applyBorder="1" applyAlignment="1">
      <alignment vertical="center"/>
    </xf>
    <xf numFmtId="165" fontId="21" fillId="3" borderId="7" xfId="0" applyNumberFormat="1" applyFont="1" applyFill="1" applyBorder="1" applyAlignment="1">
      <alignment vertical="center"/>
    </xf>
    <xf numFmtId="168" fontId="17" fillId="3" borderId="1" xfId="0" applyNumberFormat="1" applyFont="1" applyFill="1" applyBorder="1" applyAlignment="1">
      <alignment horizontal="center" vertical="center"/>
    </xf>
    <xf numFmtId="0" fontId="17" fillId="3" borderId="1" xfId="9" applyFont="1" applyFill="1" applyBorder="1" applyAlignment="1">
      <alignment horizontal="center" vertical="center"/>
    </xf>
    <xf numFmtId="0" fontId="17" fillId="3" borderId="1" xfId="6" applyFont="1" applyFill="1" applyBorder="1" applyAlignment="1">
      <alignment horizontal="justify" vertical="center" wrapText="1"/>
    </xf>
    <xf numFmtId="0" fontId="17" fillId="3" borderId="1" xfId="9" applyFont="1" applyFill="1" applyBorder="1" applyAlignment="1">
      <alignment horizontal="right" vertical="center"/>
    </xf>
    <xf numFmtId="43" fontId="37" fillId="3" borderId="1" xfId="4" applyFont="1" applyFill="1" applyBorder="1" applyAlignment="1">
      <alignment horizontal="right" vertical="center"/>
    </xf>
    <xf numFmtId="0" fontId="37" fillId="3" borderId="1" xfId="4" applyNumberFormat="1" applyFont="1" applyFill="1" applyBorder="1" applyAlignment="1" applyProtection="1">
      <alignment horizontal="center" vertical="center"/>
    </xf>
    <xf numFmtId="2" fontId="17" fillId="3" borderId="1" xfId="9" applyNumberFormat="1" applyFont="1" applyFill="1" applyBorder="1" applyAlignment="1">
      <alignment horizontal="center" vertical="center"/>
    </xf>
    <xf numFmtId="43" fontId="17" fillId="3" borderId="1" xfId="4" applyFont="1" applyFill="1" applyBorder="1" applyAlignment="1">
      <alignment horizontal="right" vertical="center"/>
    </xf>
    <xf numFmtId="165" fontId="17" fillId="3" borderId="1" xfId="14" applyFont="1" applyFill="1" applyBorder="1" applyAlignment="1">
      <alignment horizontal="right" vertical="center"/>
    </xf>
    <xf numFmtId="2" fontId="17" fillId="3" borderId="1" xfId="5" applyNumberFormat="1" applyFont="1" applyFill="1" applyBorder="1" applyAlignment="1">
      <alignment horizontal="right" vertical="center" wrapText="1"/>
    </xf>
    <xf numFmtId="0" fontId="17" fillId="3" borderId="1" xfId="15" quotePrefix="1" applyFont="1" applyFill="1" applyBorder="1" applyAlignment="1">
      <alignment horizontal="center" vertical="center"/>
    </xf>
    <xf numFmtId="43" fontId="17" fillId="3" borderId="1" xfId="4" applyFont="1" applyFill="1" applyBorder="1" applyAlignment="1" applyProtection="1">
      <alignment vertical="center"/>
    </xf>
    <xf numFmtId="0" fontId="17" fillId="3" borderId="1" xfId="15" applyFont="1" applyFill="1" applyBorder="1" applyAlignment="1">
      <alignment horizontal="center" vertical="center"/>
    </xf>
    <xf numFmtId="43" fontId="19" fillId="3" borderId="0" xfId="5" applyNumberFormat="1" applyFont="1" applyFill="1" applyAlignment="1">
      <alignment vertical="center"/>
    </xf>
    <xf numFmtId="43" fontId="21" fillId="3" borderId="0" xfId="27" applyNumberFormat="1" applyFont="1" applyFill="1" applyAlignment="1">
      <alignment vertical="center"/>
    </xf>
    <xf numFmtId="174" fontId="10" fillId="3" borderId="0" xfId="14" applyNumberFormat="1" applyFont="1" applyFill="1" applyBorder="1" applyAlignment="1" applyProtection="1">
      <alignment vertical="center"/>
    </xf>
    <xf numFmtId="165" fontId="21" fillId="3" borderId="1" xfId="14" applyFont="1" applyFill="1" applyBorder="1" applyAlignment="1">
      <alignment horizontal="center" vertical="center"/>
    </xf>
    <xf numFmtId="0" fontId="24" fillId="3" borderId="1" xfId="27" applyFont="1" applyFill="1" applyBorder="1" applyAlignment="1">
      <alignment horizontal="left" vertical="center" wrapText="1"/>
    </xf>
    <xf numFmtId="0" fontId="21" fillId="3" borderId="1" xfId="27" applyFont="1" applyFill="1" applyBorder="1" applyAlignment="1">
      <alignment horizontal="center" vertical="center"/>
    </xf>
    <xf numFmtId="165" fontId="21" fillId="3" borderId="1" xfId="28" applyFont="1" applyFill="1" applyBorder="1" applyAlignment="1">
      <alignment horizontal="center" vertical="center"/>
    </xf>
    <xf numFmtId="165" fontId="21" fillId="3" borderId="1" xfId="28" applyFont="1" applyFill="1" applyBorder="1" applyAlignment="1">
      <alignment vertical="center"/>
    </xf>
    <xf numFmtId="0" fontId="21" fillId="3" borderId="1" xfId="27" applyFont="1" applyFill="1" applyBorder="1" applyAlignment="1">
      <alignment horizontal="center" vertical="center" wrapText="1"/>
    </xf>
    <xf numFmtId="0" fontId="24" fillId="3" borderId="1" xfId="27" applyFont="1" applyFill="1" applyBorder="1" applyAlignment="1">
      <alignment horizontal="center" vertical="top"/>
    </xf>
    <xf numFmtId="0" fontId="24" fillId="3" borderId="1" xfId="27" applyFont="1" applyFill="1" applyBorder="1" applyAlignment="1">
      <alignment horizontal="left" vertical="top" wrapText="1"/>
    </xf>
    <xf numFmtId="0" fontId="21" fillId="3" borderId="1" xfId="27" applyFont="1" applyFill="1" applyBorder="1" applyAlignment="1">
      <alignment horizontal="center" vertical="top"/>
    </xf>
    <xf numFmtId="165" fontId="21" fillId="3" borderId="1" xfId="28" applyFont="1" applyFill="1" applyBorder="1" applyAlignment="1">
      <alignment horizontal="center" vertical="top"/>
    </xf>
    <xf numFmtId="0" fontId="28" fillId="3" borderId="1" xfId="27" applyFont="1" applyFill="1" applyBorder="1" applyAlignment="1">
      <alignment horizontal="center" vertical="top" wrapText="1"/>
    </xf>
    <xf numFmtId="0" fontId="25" fillId="3" borderId="1" xfId="27" applyFont="1" applyFill="1" applyBorder="1" applyAlignment="1">
      <alignment vertical="top" wrapText="1"/>
    </xf>
    <xf numFmtId="165" fontId="21" fillId="3" borderId="1" xfId="28" applyFont="1" applyFill="1" applyBorder="1" applyAlignment="1">
      <alignment vertical="top"/>
    </xf>
    <xf numFmtId="165" fontId="21" fillId="3" borderId="1" xfId="14" applyFont="1" applyFill="1" applyBorder="1" applyAlignment="1">
      <alignment vertical="top"/>
    </xf>
    <xf numFmtId="165" fontId="21" fillId="3" borderId="1" xfId="0" applyNumberFormat="1" applyFont="1" applyFill="1" applyBorder="1" applyAlignment="1">
      <alignment vertical="top"/>
    </xf>
    <xf numFmtId="0" fontId="28" fillId="3" borderId="1" xfId="27" applyFont="1" applyFill="1" applyBorder="1" applyAlignment="1">
      <alignment vertical="top" wrapText="1"/>
    </xf>
    <xf numFmtId="0" fontId="21" fillId="3" borderId="1" xfId="27" applyFont="1" applyFill="1" applyBorder="1" applyAlignment="1">
      <alignment horizontal="center" vertical="top" wrapText="1"/>
    </xf>
    <xf numFmtId="0" fontId="25" fillId="3" borderId="1" xfId="6" applyFont="1" applyFill="1" applyBorder="1" applyAlignment="1">
      <alignment horizontal="center" vertical="center" wrapText="1"/>
    </xf>
    <xf numFmtId="0" fontId="25" fillId="3" borderId="1" xfId="6" applyFont="1" applyFill="1" applyBorder="1" applyAlignment="1">
      <alignment vertical="center" wrapText="1"/>
    </xf>
    <xf numFmtId="0" fontId="25" fillId="3" borderId="6" xfId="6" applyFont="1" applyFill="1" applyBorder="1" applyAlignment="1">
      <alignment horizontal="center" vertical="center" wrapText="1"/>
    </xf>
    <xf numFmtId="0" fontId="19" fillId="3" borderId="0" xfId="5" applyFont="1" applyFill="1" applyAlignment="1">
      <alignment vertical="center" wrapText="1"/>
    </xf>
    <xf numFmtId="0" fontId="38" fillId="3" borderId="12" xfId="33" applyFont="1" applyFill="1" applyBorder="1" applyAlignment="1">
      <alignment vertical="center"/>
    </xf>
    <xf numFmtId="0" fontId="24" fillId="3" borderId="13" xfId="27" applyFont="1" applyFill="1" applyBorder="1" applyAlignment="1">
      <alignment vertical="center"/>
    </xf>
    <xf numFmtId="165" fontId="24" fillId="3" borderId="13" xfId="14" applyFont="1" applyFill="1" applyBorder="1" applyAlignment="1">
      <alignment vertical="center"/>
    </xf>
    <xf numFmtId="0" fontId="24" fillId="3" borderId="11" xfId="27" applyFont="1" applyFill="1" applyBorder="1" applyAlignment="1">
      <alignment horizontal="right" vertical="center"/>
    </xf>
    <xf numFmtId="0" fontId="24" fillId="3" borderId="6" xfId="6" applyFont="1" applyFill="1" applyBorder="1" applyAlignment="1">
      <alignment vertical="center" wrapText="1"/>
    </xf>
    <xf numFmtId="165" fontId="24" fillId="4" borderId="6" xfId="14" applyFont="1" applyFill="1" applyBorder="1" applyAlignment="1">
      <alignment horizontal="center" vertical="center" wrapText="1"/>
    </xf>
    <xf numFmtId="0" fontId="24" fillId="4" borderId="6" xfId="29" applyFont="1" applyFill="1" applyBorder="1" applyAlignment="1">
      <alignment horizontal="center" vertical="center" wrapText="1"/>
    </xf>
    <xf numFmtId="0" fontId="25" fillId="3" borderId="6" xfId="6" applyFont="1" applyFill="1" applyBorder="1" applyAlignment="1">
      <alignment vertical="center" wrapText="1"/>
    </xf>
    <xf numFmtId="0" fontId="24" fillId="3" borderId="13" xfId="0" applyFont="1" applyFill="1" applyBorder="1" applyAlignment="1">
      <alignment vertical="center"/>
    </xf>
    <xf numFmtId="43" fontId="37" fillId="3" borderId="1" xfId="4" applyFont="1" applyFill="1" applyBorder="1" applyAlignment="1" applyProtection="1">
      <alignment vertical="center"/>
    </xf>
    <xf numFmtId="0" fontId="17" fillId="3" borderId="1" xfId="0" applyFont="1" applyFill="1" applyBorder="1" applyAlignment="1">
      <alignment vertical="center" wrapText="1"/>
    </xf>
    <xf numFmtId="0" fontId="17" fillId="3" borderId="1" xfId="0" applyFont="1" applyFill="1" applyBorder="1" applyAlignment="1">
      <alignment horizontal="center" vertical="center"/>
    </xf>
    <xf numFmtId="0" fontId="17" fillId="3" borderId="1" xfId="3" applyFont="1" applyFill="1" applyBorder="1" applyAlignment="1">
      <alignment vertical="center" wrapText="1"/>
    </xf>
    <xf numFmtId="43" fontId="17" fillId="3" borderId="1" xfId="4" applyFont="1" applyFill="1" applyBorder="1" applyAlignment="1">
      <alignment horizontal="center" vertical="center" wrapText="1"/>
    </xf>
    <xf numFmtId="170" fontId="37" fillId="3" borderId="1" xfId="5" applyNumberFormat="1" applyFont="1" applyFill="1" applyBorder="1" applyAlignment="1">
      <alignment horizontal="justify" vertical="center" wrapText="1"/>
    </xf>
    <xf numFmtId="0" fontId="17" fillId="3" borderId="1" xfId="5" applyFont="1" applyFill="1" applyBorder="1" applyAlignment="1">
      <alignment horizontal="justify" vertical="center" wrapText="1"/>
    </xf>
    <xf numFmtId="0" fontId="17" fillId="3" borderId="1" xfId="4" applyNumberFormat="1" applyFont="1" applyFill="1" applyBorder="1" applyAlignment="1" applyProtection="1">
      <alignment horizontal="center" vertical="center"/>
    </xf>
    <xf numFmtId="0" fontId="45" fillId="3" borderId="0" xfId="5" applyFont="1" applyFill="1" applyAlignment="1">
      <alignment vertical="center"/>
    </xf>
    <xf numFmtId="43" fontId="45" fillId="3" borderId="0" xfId="5" applyNumberFormat="1" applyFont="1" applyFill="1" applyAlignment="1">
      <alignment vertical="center"/>
    </xf>
    <xf numFmtId="170" fontId="17" fillId="3" borderId="1" xfId="5" applyNumberFormat="1" applyFont="1" applyFill="1" applyBorder="1" applyAlignment="1">
      <alignment horizontal="justify" vertical="center" wrapText="1"/>
    </xf>
    <xf numFmtId="0" fontId="17" fillId="3" borderId="0" xfId="5" applyFont="1" applyFill="1" applyAlignment="1">
      <alignment vertical="center"/>
    </xf>
    <xf numFmtId="4" fontId="17" fillId="3" borderId="1" xfId="4" applyNumberFormat="1" applyFont="1" applyFill="1" applyBorder="1" applyAlignment="1" applyProtection="1">
      <alignment vertical="center"/>
    </xf>
    <xf numFmtId="0" fontId="37" fillId="3" borderId="1" xfId="5" applyFont="1" applyFill="1" applyBorder="1" applyAlignment="1">
      <alignment horizontal="left" vertical="center"/>
    </xf>
    <xf numFmtId="0" fontId="17" fillId="3" borderId="1" xfId="37" applyFont="1" applyFill="1" applyBorder="1" applyAlignment="1">
      <alignment horizontal="center" vertical="center"/>
    </xf>
    <xf numFmtId="2" fontId="17" fillId="3" borderId="1" xfId="37" applyNumberFormat="1" applyFont="1" applyFill="1" applyBorder="1" applyAlignment="1">
      <alignment horizontal="center" vertical="center" wrapText="1"/>
    </xf>
    <xf numFmtId="1" fontId="17" fillId="3" borderId="1" xfId="5" applyNumberFormat="1" applyFont="1" applyFill="1" applyBorder="1" applyAlignment="1">
      <alignment horizontal="center" vertical="center"/>
    </xf>
    <xf numFmtId="167" fontId="17" fillId="3" borderId="1" xfId="14" applyNumberFormat="1" applyFont="1" applyFill="1" applyBorder="1" applyAlignment="1">
      <alignment horizontal="center" vertical="center"/>
    </xf>
    <xf numFmtId="0" fontId="17" fillId="3" borderId="1" xfId="9" applyFont="1" applyFill="1" applyBorder="1" applyAlignment="1">
      <alignment horizontal="left" vertical="center"/>
    </xf>
    <xf numFmtId="0" fontId="37" fillId="3" borderId="1" xfId="5" applyFont="1" applyFill="1" applyBorder="1" applyAlignment="1">
      <alignment vertical="center" wrapText="1"/>
    </xf>
    <xf numFmtId="168" fontId="40" fillId="3" borderId="1" xfId="0" applyNumberFormat="1" applyFont="1" applyFill="1" applyBorder="1" applyAlignment="1">
      <alignment horizontal="center" vertical="center"/>
    </xf>
    <xf numFmtId="43" fontId="40" fillId="3" borderId="1" xfId="4" applyFont="1" applyFill="1" applyBorder="1" applyAlignment="1">
      <alignment horizontal="center" vertical="center"/>
    </xf>
    <xf numFmtId="168" fontId="40" fillId="3" borderId="1" xfId="4" applyNumberFormat="1" applyFont="1" applyFill="1" applyBorder="1" applyAlignment="1">
      <alignment horizontal="center" vertical="center"/>
    </xf>
    <xf numFmtId="170" fontId="17" fillId="3" borderId="1" xfId="5" applyNumberFormat="1" applyFont="1" applyFill="1" applyBorder="1" applyAlignment="1">
      <alignment horizontal="justify" vertical="top" wrapText="1"/>
    </xf>
    <xf numFmtId="43" fontId="17" fillId="3" borderId="1" xfId="4" applyFont="1" applyFill="1" applyBorder="1" applyAlignment="1">
      <alignment vertical="center" wrapText="1"/>
    </xf>
    <xf numFmtId="0" fontId="17" fillId="3" borderId="1" xfId="5" applyFont="1" applyFill="1" applyBorder="1" applyAlignment="1">
      <alignment wrapText="1"/>
    </xf>
    <xf numFmtId="0" fontId="37" fillId="3" borderId="1" xfId="5" applyFont="1" applyFill="1" applyBorder="1" applyAlignment="1">
      <alignment wrapText="1"/>
    </xf>
    <xf numFmtId="0" fontId="17" fillId="3" borderId="1" xfId="5" applyFont="1" applyFill="1" applyBorder="1" applyAlignment="1">
      <alignment horizontal="center" vertical="top"/>
    </xf>
    <xf numFmtId="0" fontId="37" fillId="3" borderId="1" xfId="5" applyFont="1" applyFill="1" applyBorder="1" applyAlignment="1">
      <alignment horizontal="justify" vertical="top" wrapText="1"/>
    </xf>
    <xf numFmtId="0" fontId="17" fillId="3" borderId="1" xfId="5" applyFont="1" applyFill="1" applyBorder="1" applyAlignment="1">
      <alignment horizontal="justify" vertical="top" wrapText="1"/>
    </xf>
    <xf numFmtId="166" fontId="17" fillId="3" borderId="1" xfId="8" applyNumberFormat="1" applyFont="1" applyFill="1" applyBorder="1" applyAlignment="1">
      <alignment horizontal="center" vertical="center"/>
    </xf>
    <xf numFmtId="170" fontId="17" fillId="3" borderId="1" xfId="8" applyFont="1" applyFill="1" applyBorder="1" applyAlignment="1">
      <alignment horizontal="center" vertical="center"/>
    </xf>
    <xf numFmtId="170" fontId="17" fillId="3" borderId="1" xfId="8" applyFont="1" applyFill="1" applyBorder="1" applyAlignment="1">
      <alignment horizontal="justify" vertical="center"/>
    </xf>
    <xf numFmtId="170" fontId="17" fillId="3" borderId="1" xfId="8" quotePrefix="1" applyFont="1" applyFill="1" applyBorder="1" applyAlignment="1">
      <alignment horizontal="justify" vertical="center"/>
    </xf>
    <xf numFmtId="170" fontId="17" fillId="3" borderId="1" xfId="8" quotePrefix="1" applyFont="1" applyFill="1" applyBorder="1" applyAlignment="1">
      <alignment horizontal="justify" vertical="center" wrapText="1"/>
    </xf>
    <xf numFmtId="2" fontId="17" fillId="3" borderId="1" xfId="8" applyNumberFormat="1" applyFont="1" applyFill="1" applyBorder="1" applyAlignment="1">
      <alignment horizontal="center" vertical="center"/>
    </xf>
    <xf numFmtId="165" fontId="17" fillId="3" borderId="1" xfId="14" applyFont="1" applyFill="1" applyBorder="1" applyAlignment="1">
      <alignment vertical="center"/>
    </xf>
    <xf numFmtId="0" fontId="37" fillId="3" borderId="1" xfId="5" applyFont="1" applyFill="1" applyBorder="1" applyAlignment="1">
      <alignment horizontal="justify" vertical="center" wrapText="1"/>
    </xf>
    <xf numFmtId="165" fontId="17" fillId="3" borderId="1" xfId="14" applyFont="1" applyFill="1" applyBorder="1" applyAlignment="1">
      <alignment horizontal="justify" vertical="center" wrapText="1"/>
    </xf>
    <xf numFmtId="43" fontId="17" fillId="3" borderId="1" xfId="4" applyFont="1" applyFill="1" applyBorder="1" applyAlignment="1">
      <alignment horizontal="right" vertical="center" wrapText="1"/>
    </xf>
    <xf numFmtId="2" fontId="17" fillId="3" borderId="1" xfId="37" applyNumberFormat="1" applyFont="1" applyFill="1" applyBorder="1" applyAlignment="1">
      <alignment vertical="center"/>
    </xf>
    <xf numFmtId="0" fontId="37" fillId="3" borderId="1" xfId="37" applyFont="1" applyFill="1" applyBorder="1" applyAlignment="1">
      <alignment horizontal="center" vertical="center" wrapText="1"/>
    </xf>
    <xf numFmtId="0" fontId="17" fillId="3" borderId="1" xfId="37" applyFont="1" applyFill="1" applyBorder="1" applyAlignment="1">
      <alignment vertical="center"/>
    </xf>
    <xf numFmtId="0" fontId="17" fillId="3" borderId="1" xfId="37" applyFont="1" applyFill="1" applyBorder="1" applyAlignment="1">
      <alignment horizontal="center" vertical="center" wrapText="1"/>
    </xf>
    <xf numFmtId="0" fontId="17" fillId="3" borderId="0" xfId="5" applyFont="1" applyFill="1"/>
    <xf numFmtId="2" fontId="17" fillId="3" borderId="1" xfId="37" applyNumberFormat="1" applyFont="1" applyFill="1" applyBorder="1" applyAlignment="1">
      <alignment horizontal="center" vertical="center"/>
    </xf>
    <xf numFmtId="0" fontId="17" fillId="3" borderId="1" xfId="37" applyFont="1" applyFill="1" applyBorder="1" applyAlignment="1">
      <alignment vertical="center" wrapText="1"/>
    </xf>
    <xf numFmtId="0" fontId="37" fillId="3" borderId="1" xfId="37" applyFont="1" applyFill="1" applyBorder="1" applyAlignment="1">
      <alignment vertical="center" wrapText="1"/>
    </xf>
    <xf numFmtId="2" fontId="37" fillId="3" borderId="1" xfId="37" applyNumberFormat="1" applyFont="1" applyFill="1" applyBorder="1" applyAlignment="1">
      <alignment vertical="center"/>
    </xf>
    <xf numFmtId="1" fontId="37" fillId="3" borderId="1" xfId="37" applyNumberFormat="1" applyFont="1" applyFill="1" applyBorder="1" applyAlignment="1">
      <alignment horizontal="center" vertical="center"/>
    </xf>
    <xf numFmtId="0" fontId="37" fillId="3" borderId="1" xfId="37" applyFont="1" applyFill="1" applyBorder="1" applyAlignment="1">
      <alignment horizontal="left" vertical="center" wrapText="1"/>
    </xf>
    <xf numFmtId="165" fontId="17" fillId="3" borderId="1" xfId="14" applyFont="1" applyFill="1" applyBorder="1" applyAlignment="1">
      <alignment horizontal="left" vertical="center"/>
    </xf>
    <xf numFmtId="0" fontId="17" fillId="3" borderId="1" xfId="37" applyFont="1" applyFill="1" applyBorder="1" applyAlignment="1">
      <alignment horizontal="left" vertical="center" wrapText="1"/>
    </xf>
    <xf numFmtId="2" fontId="17" fillId="3" borderId="1" xfId="38" applyNumberFormat="1" applyFont="1" applyFill="1" applyBorder="1" applyAlignment="1">
      <alignment horizontal="right" vertical="center"/>
    </xf>
    <xf numFmtId="2" fontId="17" fillId="3" borderId="1" xfId="38" applyNumberFormat="1" applyFont="1" applyFill="1" applyBorder="1" applyAlignment="1">
      <alignment horizontal="center" vertical="center"/>
    </xf>
    <xf numFmtId="166" fontId="17" fillId="3" borderId="1" xfId="38" quotePrefix="1" applyNumberFormat="1" applyFont="1" applyFill="1" applyBorder="1" applyAlignment="1">
      <alignment horizontal="center" vertical="center" wrapText="1"/>
    </xf>
    <xf numFmtId="166" fontId="17" fillId="3" borderId="1" xfId="38" applyNumberFormat="1" applyFont="1" applyFill="1" applyBorder="1" applyAlignment="1">
      <alignment horizontal="center" vertical="center" wrapText="1"/>
    </xf>
    <xf numFmtId="2" fontId="37" fillId="3" borderId="1" xfId="38" applyNumberFormat="1" applyFont="1" applyFill="1" applyBorder="1" applyAlignment="1">
      <alignment horizontal="right" vertical="center"/>
    </xf>
    <xf numFmtId="0" fontId="17" fillId="3" borderId="1" xfId="37" applyFont="1" applyFill="1" applyBorder="1" applyAlignment="1">
      <alignment horizontal="left" vertical="center"/>
    </xf>
    <xf numFmtId="2" fontId="37" fillId="3" borderId="1" xfId="37" applyNumberFormat="1" applyFont="1" applyFill="1" applyBorder="1" applyAlignment="1">
      <alignment horizontal="right" vertical="center" wrapText="1"/>
    </xf>
    <xf numFmtId="2" fontId="17" fillId="3" borderId="1" xfId="37" applyNumberFormat="1" applyFont="1" applyFill="1" applyBorder="1" applyAlignment="1">
      <alignment horizontal="left" vertical="center" wrapText="1"/>
    </xf>
    <xf numFmtId="165" fontId="17" fillId="3" borderId="1" xfId="5" applyNumberFormat="1" applyFont="1" applyFill="1" applyBorder="1" applyAlignment="1">
      <alignment horizontal="justify" vertical="center" wrapText="1"/>
    </xf>
    <xf numFmtId="0" fontId="37" fillId="3" borderId="1" xfId="5" applyFont="1" applyFill="1" applyBorder="1" applyAlignment="1">
      <alignment horizontal="center" vertical="center" wrapText="1"/>
    </xf>
    <xf numFmtId="0" fontId="47" fillId="3" borderId="0" xfId="5" applyFont="1" applyFill="1"/>
    <xf numFmtId="0" fontId="37" fillId="3" borderId="1" xfId="5" applyFont="1" applyFill="1" applyBorder="1" applyAlignment="1">
      <alignment horizontal="right" vertical="center" wrapText="1"/>
    </xf>
    <xf numFmtId="165" fontId="37" fillId="3" borderId="1" xfId="14" applyFont="1" applyFill="1" applyBorder="1" applyAlignment="1">
      <alignment horizontal="center" vertical="center" wrapText="1"/>
    </xf>
    <xf numFmtId="168" fontId="37" fillId="3" borderId="1" xfId="35" applyNumberFormat="1" applyFont="1" applyFill="1" applyBorder="1" applyAlignment="1" applyProtection="1">
      <alignment horizontal="center" vertical="center"/>
    </xf>
    <xf numFmtId="43" fontId="17" fillId="3" borderId="1" xfId="35" applyFont="1" applyFill="1" applyBorder="1" applyAlignment="1">
      <alignment horizontal="center" vertical="center" wrapText="1"/>
    </xf>
    <xf numFmtId="43" fontId="17" fillId="3" borderId="1" xfId="35" applyFont="1" applyFill="1" applyBorder="1" applyAlignment="1">
      <alignment vertical="center"/>
    </xf>
    <xf numFmtId="2" fontId="17" fillId="3" borderId="1" xfId="0" applyNumberFormat="1" applyFont="1" applyFill="1" applyBorder="1" applyAlignment="1">
      <alignment horizontal="center" vertical="center"/>
    </xf>
    <xf numFmtId="0" fontId="17" fillId="3" borderId="1" xfId="0" applyFont="1" applyFill="1" applyBorder="1" applyAlignment="1">
      <alignment horizontal="left" vertical="center" wrapText="1"/>
    </xf>
    <xf numFmtId="0" fontId="17" fillId="3" borderId="1" xfId="0" applyFont="1" applyFill="1" applyBorder="1" applyAlignment="1">
      <alignment horizontal="left" vertical="center"/>
    </xf>
    <xf numFmtId="0" fontId="37" fillId="3" borderId="1" xfId="6" applyFont="1" applyFill="1" applyBorder="1" applyAlignment="1">
      <alignment horizontal="left" vertical="center" wrapText="1"/>
    </xf>
    <xf numFmtId="43" fontId="37" fillId="3" borderId="1" xfId="35" applyFont="1" applyFill="1" applyBorder="1" applyAlignment="1">
      <alignment vertical="center"/>
    </xf>
    <xf numFmtId="168" fontId="17" fillId="3" borderId="1" xfId="4" applyNumberFormat="1" applyFont="1" applyFill="1" applyBorder="1" applyAlignment="1">
      <alignment horizontal="center" vertical="center"/>
    </xf>
    <xf numFmtId="168" fontId="19" fillId="3" borderId="1" xfId="5" applyNumberFormat="1" applyFont="1" applyFill="1" applyBorder="1" applyAlignment="1">
      <alignment vertical="center"/>
    </xf>
    <xf numFmtId="0" fontId="17" fillId="3" borderId="1" xfId="5" applyFont="1" applyFill="1" applyBorder="1" applyAlignment="1">
      <alignment horizontal="justify" vertical="center"/>
    </xf>
    <xf numFmtId="169" fontId="19" fillId="3" borderId="1" xfId="4" applyNumberFormat="1" applyFont="1" applyFill="1" applyBorder="1" applyAlignment="1">
      <alignment horizontal="center" vertical="center" wrapText="1"/>
    </xf>
    <xf numFmtId="166" fontId="18" fillId="3" borderId="4" xfId="2" applyNumberFormat="1" applyFont="1" applyFill="1" applyBorder="1" applyAlignment="1">
      <alignment vertical="center"/>
    </xf>
    <xf numFmtId="43" fontId="37" fillId="3" borderId="1" xfId="4" applyFont="1" applyFill="1" applyBorder="1" applyAlignment="1">
      <alignment horizontal="right" vertical="center" wrapText="1"/>
    </xf>
    <xf numFmtId="2" fontId="37" fillId="3" borderId="1" xfId="5" applyNumberFormat="1" applyFont="1" applyFill="1" applyBorder="1" applyAlignment="1">
      <alignment horizontal="center" vertical="center"/>
    </xf>
    <xf numFmtId="170" fontId="37" fillId="3" borderId="1" xfId="5" applyNumberFormat="1" applyFont="1" applyFill="1" applyBorder="1" applyAlignment="1">
      <alignment horizontal="center" vertical="center"/>
    </xf>
    <xf numFmtId="170" fontId="37" fillId="3" borderId="1" xfId="5" applyNumberFormat="1" applyFont="1" applyFill="1" applyBorder="1" applyAlignment="1">
      <alignment horizontal="center" vertical="center" wrapText="1"/>
    </xf>
    <xf numFmtId="43" fontId="37" fillId="3" borderId="1" xfId="4" applyFont="1" applyFill="1" applyBorder="1" applyAlignment="1" applyProtection="1">
      <alignment horizontal="center" vertical="center"/>
    </xf>
    <xf numFmtId="0" fontId="17" fillId="3" borderId="1" xfId="3" applyFont="1" applyFill="1" applyBorder="1" applyAlignment="1">
      <alignment horizontal="justify" vertical="center" wrapText="1"/>
    </xf>
    <xf numFmtId="170" fontId="49" fillId="3" borderId="1" xfId="5" applyNumberFormat="1" applyFont="1" applyFill="1" applyBorder="1" applyAlignment="1">
      <alignment horizontal="justify" vertical="center" wrapText="1"/>
    </xf>
    <xf numFmtId="0" fontId="37" fillId="3" borderId="1" xfId="5" applyFont="1" applyFill="1" applyBorder="1" applyAlignment="1">
      <alignment horizontal="justify" vertical="center"/>
    </xf>
    <xf numFmtId="165" fontId="45" fillId="3" borderId="0" xfId="5" applyNumberFormat="1" applyFont="1" applyFill="1" applyAlignment="1">
      <alignment vertical="center"/>
    </xf>
    <xf numFmtId="165" fontId="17" fillId="3" borderId="1" xfId="14" applyFont="1" applyFill="1" applyBorder="1" applyAlignment="1" applyProtection="1">
      <alignment vertical="center"/>
    </xf>
    <xf numFmtId="0" fontId="45" fillId="3" borderId="1" xfId="5" applyFont="1" applyFill="1" applyBorder="1" applyAlignment="1">
      <alignment vertical="center"/>
    </xf>
    <xf numFmtId="170" fontId="45" fillId="3" borderId="0" xfId="5" applyNumberFormat="1" applyFont="1" applyFill="1" applyAlignment="1">
      <alignment vertical="center"/>
    </xf>
    <xf numFmtId="43" fontId="51" fillId="3" borderId="1" xfId="4" applyFont="1" applyFill="1" applyBorder="1" applyAlignment="1">
      <alignment horizontal="center" vertical="center" wrapText="1"/>
    </xf>
    <xf numFmtId="171" fontId="17" fillId="3" borderId="1" xfId="5" applyNumberFormat="1" applyFont="1" applyFill="1" applyBorder="1" applyAlignment="1">
      <alignment horizontal="center" vertical="center"/>
    </xf>
    <xf numFmtId="173" fontId="17" fillId="3" borderId="1" xfId="5" applyNumberFormat="1" applyFont="1" applyFill="1" applyBorder="1" applyAlignment="1">
      <alignment horizontal="center" vertical="center"/>
    </xf>
    <xf numFmtId="170" fontId="37" fillId="3" borderId="1" xfId="5" applyNumberFormat="1" applyFont="1" applyFill="1" applyBorder="1" applyAlignment="1">
      <alignment horizontal="justify" vertical="center"/>
    </xf>
    <xf numFmtId="170" fontId="17" fillId="3" borderId="1" xfId="5" applyNumberFormat="1" applyFont="1" applyFill="1" applyBorder="1" applyAlignment="1">
      <alignment horizontal="justify" vertical="center"/>
    </xf>
    <xf numFmtId="2" fontId="17" fillId="3" borderId="1" xfId="11" applyNumberFormat="1" applyFont="1" applyFill="1" applyBorder="1" applyAlignment="1" applyProtection="1">
      <alignment horizontal="center" vertical="center"/>
    </xf>
    <xf numFmtId="2" fontId="45" fillId="3" borderId="0" xfId="5" applyNumberFormat="1" applyFont="1" applyFill="1" applyAlignment="1">
      <alignment vertical="center"/>
    </xf>
    <xf numFmtId="170" fontId="17" fillId="3" borderId="0" xfId="5" applyNumberFormat="1" applyFont="1" applyFill="1" applyAlignment="1">
      <alignment vertical="center"/>
    </xf>
    <xf numFmtId="0" fontId="45" fillId="3" borderId="0" xfId="5" applyFont="1" applyFill="1" applyAlignment="1">
      <alignment horizontal="center" vertical="center"/>
    </xf>
    <xf numFmtId="172" fontId="17" fillId="3" borderId="0" xfId="5" applyNumberFormat="1" applyFont="1" applyFill="1" applyAlignment="1">
      <alignment vertical="center"/>
    </xf>
    <xf numFmtId="170" fontId="17" fillId="3" borderId="1" xfId="3" applyNumberFormat="1" applyFont="1" applyFill="1" applyBorder="1" applyAlignment="1">
      <alignment horizontal="center" vertical="center"/>
    </xf>
    <xf numFmtId="170" fontId="37" fillId="3" borderId="1" xfId="3" applyNumberFormat="1" applyFont="1" applyFill="1" applyBorder="1" applyAlignment="1">
      <alignment vertical="center"/>
    </xf>
    <xf numFmtId="43" fontId="17" fillId="3" borderId="1" xfId="10" applyFont="1" applyFill="1" applyBorder="1" applyAlignment="1" applyProtection="1">
      <alignment vertical="center"/>
    </xf>
    <xf numFmtId="170" fontId="17" fillId="3" borderId="1" xfId="3" applyNumberFormat="1" applyFont="1" applyFill="1" applyBorder="1" applyAlignment="1">
      <alignment vertical="center"/>
    </xf>
    <xf numFmtId="43" fontId="37" fillId="3" borderId="1" xfId="10" applyFont="1" applyFill="1" applyBorder="1" applyAlignment="1">
      <alignment vertical="center"/>
    </xf>
    <xf numFmtId="170" fontId="17" fillId="3" borderId="1" xfId="3" applyNumberFormat="1" applyFont="1" applyFill="1" applyBorder="1" applyAlignment="1">
      <alignment horizontal="justify" vertical="center" wrapText="1"/>
    </xf>
    <xf numFmtId="2" fontId="17" fillId="3" borderId="1" xfId="9" applyNumberFormat="1" applyFont="1" applyFill="1" applyBorder="1" applyAlignment="1">
      <alignment horizontal="center" vertical="center" wrapText="1"/>
    </xf>
    <xf numFmtId="0" fontId="17" fillId="3" borderId="1" xfId="9" applyFont="1" applyFill="1" applyBorder="1" applyAlignment="1">
      <alignment horizontal="center" vertical="center" wrapText="1"/>
    </xf>
    <xf numFmtId="0" fontId="17" fillId="3" borderId="1" xfId="9" applyFont="1" applyFill="1" applyBorder="1" applyAlignment="1">
      <alignment horizontal="left" vertical="center" wrapText="1"/>
    </xf>
    <xf numFmtId="0" fontId="37" fillId="3" borderId="1" xfId="9" applyFont="1" applyFill="1" applyBorder="1" applyAlignment="1">
      <alignment horizontal="center" vertical="center"/>
    </xf>
    <xf numFmtId="0" fontId="37" fillId="3" borderId="1" xfId="9" applyFont="1" applyFill="1" applyBorder="1" applyAlignment="1">
      <alignment horizontal="left" vertical="center"/>
    </xf>
    <xf numFmtId="165" fontId="37" fillId="3" borderId="1" xfId="14" applyFont="1" applyFill="1" applyBorder="1" applyAlignment="1">
      <alignment horizontal="center" vertical="center"/>
    </xf>
    <xf numFmtId="0" fontId="37" fillId="3" borderId="1" xfId="9" applyFont="1" applyFill="1" applyBorder="1" applyAlignment="1">
      <alignment horizontal="right" vertical="center"/>
    </xf>
    <xf numFmtId="0" fontId="37" fillId="3" borderId="1" xfId="5" applyFont="1" applyFill="1" applyBorder="1" applyAlignment="1">
      <alignment horizontal="left" vertical="center" wrapText="1"/>
    </xf>
    <xf numFmtId="171" fontId="17" fillId="3" borderId="1" xfId="5" applyNumberFormat="1" applyFont="1" applyFill="1" applyBorder="1" applyAlignment="1">
      <alignment horizontal="center" vertical="center" wrapText="1"/>
    </xf>
    <xf numFmtId="0" fontId="17" fillId="3" borderId="0" xfId="15" applyFont="1" applyFill="1" applyAlignment="1">
      <alignment vertical="center"/>
    </xf>
    <xf numFmtId="0" fontId="17" fillId="3" borderId="0" xfId="15" applyFont="1" applyFill="1" applyAlignment="1">
      <alignment horizontal="center" vertical="center"/>
    </xf>
    <xf numFmtId="43" fontId="28" fillId="3" borderId="0" xfId="27" applyNumberFormat="1" applyFont="1" applyFill="1" applyAlignment="1">
      <alignment vertical="center"/>
    </xf>
    <xf numFmtId="177" fontId="45" fillId="3" borderId="0" xfId="5" applyNumberFormat="1" applyFont="1" applyFill="1" applyAlignment="1">
      <alignment vertical="center"/>
    </xf>
    <xf numFmtId="0" fontId="37" fillId="3" borderId="1" xfId="3" applyFont="1" applyFill="1" applyBorder="1" applyAlignment="1">
      <alignment horizontal="center" vertical="center"/>
    </xf>
    <xf numFmtId="0" fontId="37" fillId="3" borderId="1" xfId="3" applyFont="1" applyFill="1" applyBorder="1" applyAlignment="1">
      <alignment horizontal="left" vertical="center"/>
    </xf>
    <xf numFmtId="0" fontId="37" fillId="3" borderId="1" xfId="3" applyFont="1" applyFill="1" applyBorder="1" applyAlignment="1">
      <alignment horizontal="right" vertical="center"/>
    </xf>
    <xf numFmtId="0" fontId="45" fillId="3" borderId="0" xfId="5" applyFont="1" applyFill="1" applyAlignment="1">
      <alignment vertical="center" wrapText="1"/>
    </xf>
    <xf numFmtId="43" fontId="45" fillId="3" borderId="0" xfId="5" applyNumberFormat="1" applyFont="1" applyFill="1" applyAlignment="1">
      <alignment vertical="center" wrapText="1"/>
    </xf>
    <xf numFmtId="0" fontId="17" fillId="3" borderId="1" xfId="7" applyFont="1" applyFill="1" applyBorder="1" applyAlignment="1">
      <alignment horizontal="justify" vertical="center" wrapText="1"/>
    </xf>
    <xf numFmtId="0" fontId="37" fillId="3" borderId="1" xfId="5" applyFont="1" applyFill="1" applyBorder="1" applyAlignment="1">
      <alignment horizontal="center" vertical="center"/>
    </xf>
    <xf numFmtId="1" fontId="17" fillId="3" borderId="1" xfId="6" applyNumberFormat="1" applyFont="1" applyFill="1" applyBorder="1" applyAlignment="1">
      <alignment horizontal="justify" vertical="center" wrapText="1"/>
    </xf>
    <xf numFmtId="170" fontId="37" fillId="3" borderId="1" xfId="8" applyFont="1" applyFill="1" applyBorder="1" applyAlignment="1">
      <alignment horizontal="right" vertical="center"/>
    </xf>
    <xf numFmtId="170" fontId="37" fillId="3" borderId="1" xfId="8" applyFont="1" applyFill="1" applyBorder="1" applyAlignment="1">
      <alignment horizontal="center" vertical="center"/>
    </xf>
    <xf numFmtId="2" fontId="37" fillId="3" borderId="1" xfId="8" applyNumberFormat="1" applyFont="1" applyFill="1" applyBorder="1" applyAlignment="1">
      <alignment horizontal="center" vertical="center"/>
    </xf>
    <xf numFmtId="166" fontId="45" fillId="3" borderId="1" xfId="8" applyNumberFormat="1" applyFont="1" applyFill="1" applyBorder="1" applyAlignment="1">
      <alignment horizontal="center" vertical="center"/>
    </xf>
    <xf numFmtId="170" fontId="45" fillId="3" borderId="1" xfId="8" applyFont="1" applyFill="1" applyBorder="1" applyAlignment="1">
      <alignment horizontal="center" vertical="center"/>
    </xf>
    <xf numFmtId="170" fontId="37" fillId="3" borderId="1" xfId="8" applyFont="1" applyFill="1" applyBorder="1" applyAlignment="1">
      <alignment horizontal="justify" vertical="center"/>
    </xf>
    <xf numFmtId="165" fontId="45" fillId="3" borderId="1" xfId="14" applyFont="1" applyFill="1" applyBorder="1" applyAlignment="1">
      <alignment horizontal="center" vertical="center"/>
    </xf>
    <xf numFmtId="2" fontId="45" fillId="3" borderId="1" xfId="8" applyNumberFormat="1" applyFont="1" applyFill="1" applyBorder="1" applyAlignment="1">
      <alignment horizontal="center" vertical="center"/>
    </xf>
    <xf numFmtId="0" fontId="45" fillId="3" borderId="1" xfId="3" applyFont="1" applyFill="1" applyBorder="1" applyAlignment="1">
      <alignment vertical="center" wrapText="1"/>
    </xf>
    <xf numFmtId="165" fontId="37" fillId="3" borderId="1" xfId="14" applyFont="1" applyFill="1" applyBorder="1" applyAlignment="1">
      <alignment vertical="center"/>
    </xf>
    <xf numFmtId="43" fontId="37" fillId="3" borderId="1" xfId="4" applyFont="1" applyFill="1" applyBorder="1" applyAlignment="1">
      <alignment horizontal="justify" vertical="center" wrapText="1"/>
    </xf>
    <xf numFmtId="0" fontId="17" fillId="3" borderId="1" xfId="5" applyFont="1" applyFill="1" applyBorder="1" applyAlignment="1">
      <alignment vertical="center"/>
    </xf>
    <xf numFmtId="0" fontId="37" fillId="3" borderId="1" xfId="3" applyFont="1" applyFill="1" applyBorder="1" applyAlignment="1">
      <alignment horizontal="justify" vertical="center" wrapText="1"/>
    </xf>
    <xf numFmtId="170" fontId="17" fillId="3" borderId="0" xfId="5" applyNumberFormat="1" applyFont="1" applyFill="1" applyAlignment="1">
      <alignment horizontal="center" vertical="center"/>
    </xf>
    <xf numFmtId="2" fontId="45" fillId="3" borderId="1" xfId="5" applyNumberFormat="1" applyFont="1" applyFill="1" applyBorder="1" applyAlignment="1">
      <alignment horizontal="center" vertical="center"/>
    </xf>
    <xf numFmtId="170" fontId="45" fillId="3" borderId="1" xfId="5" applyNumberFormat="1" applyFont="1" applyFill="1" applyBorder="1" applyAlignment="1">
      <alignment horizontal="center" vertical="center"/>
    </xf>
    <xf numFmtId="0" fontId="37" fillId="3" borderId="1" xfId="5" applyFont="1" applyFill="1" applyBorder="1" applyAlignment="1">
      <alignment horizontal="right" vertical="center"/>
    </xf>
    <xf numFmtId="168" fontId="37" fillId="3" borderId="1" xfId="4" applyNumberFormat="1" applyFont="1" applyFill="1" applyBorder="1" applyAlignment="1" applyProtection="1">
      <alignment horizontal="center" vertical="center"/>
    </xf>
    <xf numFmtId="2" fontId="17" fillId="3" borderId="1" xfId="4" applyNumberFormat="1" applyFont="1" applyFill="1" applyBorder="1" applyAlignment="1">
      <alignment horizontal="center" vertical="center" wrapText="1"/>
    </xf>
    <xf numFmtId="0" fontId="45" fillId="3" borderId="0" xfId="4" applyNumberFormat="1" applyFont="1" applyFill="1" applyAlignment="1">
      <alignment horizontal="center" vertical="center"/>
    </xf>
    <xf numFmtId="2" fontId="45" fillId="3" borderId="0" xfId="5" applyNumberFormat="1" applyFont="1" applyFill="1" applyAlignment="1">
      <alignment horizontal="center" vertical="center"/>
    </xf>
    <xf numFmtId="170" fontId="45" fillId="3" borderId="0" xfId="5" applyNumberFormat="1" applyFont="1" applyFill="1" applyAlignment="1">
      <alignment horizontal="center" vertical="center"/>
    </xf>
    <xf numFmtId="170" fontId="45" fillId="3" borderId="0" xfId="5" applyNumberFormat="1" applyFont="1" applyFill="1" applyAlignment="1">
      <alignment horizontal="justify" vertical="center" wrapText="1"/>
    </xf>
    <xf numFmtId="43" fontId="45" fillId="3" borderId="0" xfId="4" applyFont="1" applyFill="1" applyAlignment="1">
      <alignment vertical="center"/>
    </xf>
    <xf numFmtId="0" fontId="9" fillId="3" borderId="1" xfId="3" applyFont="1" applyFill="1" applyBorder="1" applyAlignment="1">
      <alignment horizontal="center" vertical="center" wrapText="1"/>
    </xf>
    <xf numFmtId="0" fontId="9" fillId="3" borderId="1" xfId="3" applyFont="1" applyFill="1" applyBorder="1" applyAlignment="1">
      <alignment horizontal="left" vertical="center" wrapText="1"/>
    </xf>
    <xf numFmtId="0" fontId="35" fillId="3" borderId="9" xfId="27" applyFont="1" applyFill="1" applyBorder="1" applyAlignment="1">
      <alignment horizontal="center" vertical="center"/>
    </xf>
    <xf numFmtId="0" fontId="41" fillId="3" borderId="9" xfId="27" applyFont="1" applyFill="1" applyBorder="1" applyAlignment="1">
      <alignment vertical="center" wrapText="1"/>
    </xf>
    <xf numFmtId="165" fontId="35" fillId="3" borderId="9" xfId="28" applyFont="1" applyFill="1" applyBorder="1" applyAlignment="1">
      <alignment horizontal="center" vertical="center"/>
    </xf>
    <xf numFmtId="165" fontId="35" fillId="3" borderId="9" xfId="28" applyFont="1" applyFill="1" applyBorder="1" applyAlignment="1">
      <alignment vertical="center"/>
    </xf>
    <xf numFmtId="0" fontId="35" fillId="3" borderId="9" xfId="27" applyFont="1" applyFill="1" applyBorder="1" applyAlignment="1">
      <alignment vertical="center" wrapText="1"/>
    </xf>
    <xf numFmtId="0" fontId="35" fillId="3" borderId="9" xfId="27" applyFont="1" applyFill="1" applyBorder="1" applyAlignment="1">
      <alignment horizontal="center" vertical="center" wrapText="1"/>
    </xf>
    <xf numFmtId="0" fontId="30" fillId="3" borderId="9" xfId="27" applyFont="1" applyFill="1" applyBorder="1" applyAlignment="1">
      <alignment vertical="center" wrapText="1"/>
    </xf>
    <xf numFmtId="0" fontId="35" fillId="3" borderId="10" xfId="27" applyFont="1" applyFill="1" applyBorder="1" applyAlignment="1">
      <alignment horizontal="center" vertical="center" wrapText="1"/>
    </xf>
    <xf numFmtId="0" fontId="35" fillId="3" borderId="10" xfId="27" applyFont="1" applyFill="1" applyBorder="1" applyAlignment="1">
      <alignment vertical="center" wrapText="1"/>
    </xf>
    <xf numFmtId="0" fontId="35" fillId="3" borderId="10" xfId="27" applyFont="1" applyFill="1" applyBorder="1" applyAlignment="1">
      <alignment horizontal="center" vertical="center"/>
    </xf>
    <xf numFmtId="165" fontId="35" fillId="3" borderId="10" xfId="28" applyFont="1" applyFill="1" applyBorder="1" applyAlignment="1">
      <alignment vertical="center"/>
    </xf>
    <xf numFmtId="4" fontId="21" fillId="3" borderId="0" xfId="27" applyNumberFormat="1" applyFont="1" applyFill="1" applyAlignment="1">
      <alignment vertical="center"/>
    </xf>
    <xf numFmtId="0" fontId="21" fillId="3" borderId="9" xfId="27" applyFont="1" applyFill="1" applyBorder="1" applyAlignment="1">
      <alignment horizontal="center" vertical="center"/>
    </xf>
    <xf numFmtId="0" fontId="25" fillId="3" borderId="9" xfId="27" applyFont="1" applyFill="1" applyBorder="1" applyAlignment="1">
      <alignment vertical="center" wrapText="1"/>
    </xf>
    <xf numFmtId="165" fontId="21" fillId="3" borderId="9" xfId="28" applyFont="1" applyFill="1" applyBorder="1" applyAlignment="1">
      <alignment vertical="center"/>
    </xf>
    <xf numFmtId="0" fontId="21" fillId="3" borderId="9" xfId="27" applyFont="1" applyFill="1" applyBorder="1" applyAlignment="1">
      <alignment horizontal="center" vertical="center" wrapText="1"/>
    </xf>
    <xf numFmtId="0" fontId="21" fillId="3" borderId="10" xfId="27" applyFont="1" applyFill="1" applyBorder="1" applyAlignment="1">
      <alignment horizontal="center" vertical="center"/>
    </xf>
    <xf numFmtId="0" fontId="21" fillId="3" borderId="10" xfId="27" applyFont="1" applyFill="1" applyBorder="1" applyAlignment="1">
      <alignment vertical="center" wrapText="1"/>
    </xf>
    <xf numFmtId="165" fontId="21" fillId="3" borderId="10" xfId="28" applyFont="1" applyFill="1" applyBorder="1" applyAlignment="1">
      <alignment vertical="center"/>
    </xf>
    <xf numFmtId="0" fontId="21" fillId="3" borderId="10" xfId="27" applyFont="1" applyFill="1" applyBorder="1" applyAlignment="1">
      <alignment horizontal="center" vertical="center" wrapText="1"/>
    </xf>
    <xf numFmtId="0" fontId="28" fillId="3" borderId="10" xfId="27" applyFont="1" applyFill="1" applyBorder="1" applyAlignment="1">
      <alignment vertical="center" wrapText="1"/>
    </xf>
    <xf numFmtId="0" fontId="18" fillId="3" borderId="2" xfId="1" applyFont="1" applyFill="1" applyBorder="1" applyAlignment="1">
      <alignment horizontal="right" vertical="center" wrapText="1"/>
    </xf>
    <xf numFmtId="3" fontId="21" fillId="3" borderId="0" xfId="27" applyNumberFormat="1" applyFont="1" applyFill="1" applyAlignment="1">
      <alignment vertical="center"/>
    </xf>
    <xf numFmtId="0" fontId="14" fillId="0" borderId="1" xfId="3" applyFont="1" applyBorder="1" applyAlignment="1">
      <alignment vertical="center"/>
    </xf>
    <xf numFmtId="0" fontId="14" fillId="0" borderId="1" xfId="3" applyFont="1" applyBorder="1" applyAlignment="1">
      <alignment horizontal="center" vertical="center"/>
    </xf>
    <xf numFmtId="0" fontId="14" fillId="0" borderId="1" xfId="3" applyFont="1" applyBorder="1" applyAlignment="1">
      <alignment vertical="center" wrapText="1"/>
    </xf>
    <xf numFmtId="0" fontId="18" fillId="3" borderId="1" xfId="3" applyFont="1" applyFill="1" applyBorder="1" applyAlignment="1">
      <alignment vertical="center" wrapText="1"/>
    </xf>
    <xf numFmtId="168" fontId="19" fillId="3" borderId="1" xfId="4" applyNumberFormat="1" applyFont="1" applyFill="1" applyBorder="1" applyAlignment="1">
      <alignment vertical="center"/>
    </xf>
    <xf numFmtId="0" fontId="19" fillId="3" borderId="1" xfId="3" applyFont="1" applyFill="1" applyBorder="1" applyAlignment="1">
      <alignment vertical="center" wrapText="1"/>
    </xf>
    <xf numFmtId="0" fontId="18" fillId="3" borderId="1" xfId="5" applyFont="1" applyFill="1" applyBorder="1" applyAlignment="1">
      <alignment vertical="center"/>
    </xf>
    <xf numFmtId="43" fontId="19" fillId="3" borderId="0" xfId="4" applyFont="1" applyFill="1" applyAlignment="1">
      <alignment horizontal="center" vertical="center"/>
    </xf>
    <xf numFmtId="0" fontId="19" fillId="3" borderId="1" xfId="3" applyFont="1" applyFill="1" applyBorder="1" applyAlignment="1">
      <alignment vertical="top" wrapText="1"/>
    </xf>
    <xf numFmtId="0" fontId="35" fillId="0" borderId="9" xfId="27" applyFont="1" applyBorder="1" applyAlignment="1">
      <alignment vertical="center" wrapText="1"/>
    </xf>
    <xf numFmtId="0" fontId="35" fillId="0" borderId="10" xfId="27" applyFont="1" applyBorder="1" applyAlignment="1">
      <alignment vertical="center" wrapText="1"/>
    </xf>
    <xf numFmtId="0" fontId="54" fillId="0" borderId="1" xfId="0" applyFont="1" applyBorder="1" applyAlignment="1">
      <alignment horizontal="center"/>
    </xf>
    <xf numFmtId="0" fontId="55" fillId="0" borderId="1" xfId="0" applyFont="1" applyBorder="1"/>
    <xf numFmtId="0" fontId="56" fillId="0" borderId="1" xfId="0" applyFont="1" applyBorder="1"/>
    <xf numFmtId="0" fontId="0" fillId="0" borderId="1" xfId="0" applyBorder="1" applyAlignment="1">
      <alignment horizontal="center"/>
    </xf>
    <xf numFmtId="0" fontId="33" fillId="0" borderId="1" xfId="0" applyFont="1" applyBorder="1"/>
    <xf numFmtId="0" fontId="44" fillId="0" borderId="1" xfId="0" applyFont="1" applyBorder="1"/>
    <xf numFmtId="43" fontId="45" fillId="3" borderId="1" xfId="4" applyFont="1" applyFill="1" applyBorder="1" applyAlignment="1">
      <alignment vertical="center"/>
    </xf>
    <xf numFmtId="0" fontId="17" fillId="3" borderId="1" xfId="4" applyNumberFormat="1" applyFont="1" applyFill="1" applyBorder="1" applyAlignment="1">
      <alignment horizontal="center" vertical="center"/>
    </xf>
    <xf numFmtId="43" fontId="17" fillId="3" borderId="1" xfId="5" applyNumberFormat="1" applyFont="1" applyFill="1" applyBorder="1" applyAlignment="1">
      <alignment horizontal="justify" vertical="center" wrapText="1"/>
    </xf>
    <xf numFmtId="43" fontId="37" fillId="3" borderId="1" xfId="5" applyNumberFormat="1" applyFont="1" applyFill="1" applyBorder="1" applyAlignment="1">
      <alignment horizontal="justify" vertical="center" wrapText="1"/>
    </xf>
    <xf numFmtId="43" fontId="19" fillId="3" borderId="1" xfId="3" applyNumberFormat="1" applyFont="1" applyFill="1" applyBorder="1" applyAlignment="1">
      <alignment vertical="center" wrapText="1"/>
    </xf>
    <xf numFmtId="43" fontId="21" fillId="0" borderId="0" xfId="27" applyNumberFormat="1" applyFont="1" applyAlignment="1">
      <alignment vertical="center"/>
    </xf>
    <xf numFmtId="165" fontId="24" fillId="3" borderId="0" xfId="28" applyFont="1" applyFill="1" applyBorder="1" applyAlignment="1">
      <alignment vertical="center"/>
    </xf>
    <xf numFmtId="0" fontId="21" fillId="3" borderId="1" xfId="27" applyFont="1" applyFill="1" applyBorder="1" applyAlignment="1">
      <alignment horizontal="left" vertical="center" wrapText="1"/>
    </xf>
    <xf numFmtId="0" fontId="21" fillId="3" borderId="1" xfId="27" applyFont="1" applyFill="1" applyBorder="1" applyAlignment="1">
      <alignment horizontal="left" vertical="top" wrapText="1"/>
    </xf>
    <xf numFmtId="0" fontId="35" fillId="3" borderId="5" xfId="27" applyFont="1" applyFill="1" applyBorder="1" applyAlignment="1">
      <alignment horizontal="center" vertical="center" wrapText="1"/>
    </xf>
    <xf numFmtId="0" fontId="35" fillId="0" borderId="5" xfId="27" applyFont="1" applyBorder="1" applyAlignment="1">
      <alignment vertical="center" wrapText="1"/>
    </xf>
    <xf numFmtId="0" fontId="35" fillId="3" borderId="5" xfId="27" applyFont="1" applyFill="1" applyBorder="1" applyAlignment="1">
      <alignment vertical="center" wrapText="1"/>
    </xf>
    <xf numFmtId="0" fontId="24" fillId="3" borderId="9" xfId="27" applyFont="1" applyFill="1" applyBorder="1" applyAlignment="1">
      <alignment vertical="center" wrapText="1"/>
    </xf>
    <xf numFmtId="0" fontId="28" fillId="3" borderId="9" xfId="27" applyFont="1" applyFill="1" applyBorder="1" applyAlignment="1">
      <alignment vertical="center" wrapText="1"/>
    </xf>
    <xf numFmtId="178" fontId="19" fillId="3" borderId="0" xfId="5" applyNumberFormat="1" applyFont="1" applyFill="1" applyAlignment="1">
      <alignment vertical="center"/>
    </xf>
    <xf numFmtId="43" fontId="19" fillId="3" borderId="1" xfId="4" applyFont="1" applyFill="1" applyBorder="1" applyAlignment="1">
      <alignment horizontal="right" vertical="center"/>
    </xf>
    <xf numFmtId="172" fontId="17" fillId="3" borderId="1" xfId="5" applyNumberFormat="1" applyFont="1" applyFill="1" applyBorder="1" applyAlignment="1">
      <alignment horizontal="center" vertical="center"/>
    </xf>
    <xf numFmtId="166" fontId="45" fillId="3" borderId="0" xfId="5" applyNumberFormat="1" applyFont="1" applyFill="1" applyAlignment="1">
      <alignment vertical="center"/>
    </xf>
    <xf numFmtId="0" fontId="21" fillId="3" borderId="17" xfId="27" applyFont="1" applyFill="1" applyBorder="1" applyAlignment="1">
      <alignment horizontal="center" vertical="center"/>
    </xf>
    <xf numFmtId="0" fontId="28" fillId="3" borderId="17" xfId="27" applyFont="1" applyFill="1" applyBorder="1" applyAlignment="1">
      <alignment vertical="center" wrapText="1"/>
    </xf>
    <xf numFmtId="165" fontId="21" fillId="3" borderId="17" xfId="28" applyFont="1" applyFill="1" applyBorder="1" applyAlignment="1">
      <alignment vertical="center"/>
    </xf>
    <xf numFmtId="0" fontId="21" fillId="3" borderId="17" xfId="27" applyFont="1" applyFill="1" applyBorder="1" applyAlignment="1">
      <alignment horizontal="center" vertical="center" wrapText="1"/>
    </xf>
    <xf numFmtId="0" fontId="21" fillId="3" borderId="17" xfId="27" applyFont="1" applyFill="1" applyBorder="1" applyAlignment="1">
      <alignment vertical="center" wrapText="1"/>
    </xf>
    <xf numFmtId="0" fontId="28" fillId="3" borderId="10" xfId="27" applyFont="1" applyFill="1" applyBorder="1" applyAlignment="1">
      <alignment vertical="top" wrapText="1"/>
    </xf>
    <xf numFmtId="0" fontId="3" fillId="3" borderId="0" xfId="3" applyFont="1" applyFill="1"/>
    <xf numFmtId="165" fontId="3" fillId="3" borderId="0" xfId="14" applyFont="1" applyFill="1"/>
    <xf numFmtId="0" fontId="57" fillId="3" borderId="0" xfId="3" applyFont="1" applyFill="1"/>
    <xf numFmtId="165" fontId="57" fillId="3" borderId="0" xfId="14" applyFont="1" applyFill="1"/>
    <xf numFmtId="0" fontId="10" fillId="3" borderId="1" xfId="3" applyFont="1" applyFill="1" applyBorder="1"/>
    <xf numFmtId="168" fontId="57" fillId="3" borderId="0" xfId="3" applyNumberFormat="1" applyFont="1" applyFill="1"/>
    <xf numFmtId="174" fontId="57" fillId="3" borderId="0" xfId="14" applyNumberFormat="1" applyFont="1" applyFill="1"/>
    <xf numFmtId="43" fontId="3" fillId="3" borderId="0" xfId="3" applyNumberFormat="1" applyFont="1" applyFill="1"/>
    <xf numFmtId="174" fontId="9" fillId="3" borderId="1" xfId="14" applyNumberFormat="1" applyFont="1" applyFill="1" applyBorder="1" applyAlignment="1" applyProtection="1">
      <alignment vertical="center"/>
    </xf>
    <xf numFmtId="174" fontId="41" fillId="3" borderId="0" xfId="14" applyNumberFormat="1" applyFont="1" applyFill="1"/>
    <xf numFmtId="174" fontId="57" fillId="3" borderId="0" xfId="3" applyNumberFormat="1" applyFont="1" applyFill="1"/>
    <xf numFmtId="0" fontId="57" fillId="3" borderId="1" xfId="0" applyFont="1" applyFill="1" applyBorder="1" applyAlignment="1">
      <alignment horizontal="center" vertical="center" wrapText="1"/>
    </xf>
    <xf numFmtId="0" fontId="3" fillId="3" borderId="0" xfId="3" applyFont="1" applyFill="1" applyAlignment="1">
      <alignment vertical="center"/>
    </xf>
    <xf numFmtId="0" fontId="10" fillId="3" borderId="1" xfId="3" applyFont="1" applyFill="1" applyBorder="1" applyAlignment="1">
      <alignment horizontal="left" vertical="center" wrapText="1"/>
    </xf>
    <xf numFmtId="167" fontId="57" fillId="3" borderId="0" xfId="14" applyNumberFormat="1" applyFont="1" applyFill="1"/>
    <xf numFmtId="0" fontId="3" fillId="3" borderId="1" xfId="3" applyFont="1" applyFill="1" applyBorder="1"/>
    <xf numFmtId="168" fontId="9" fillId="3" borderId="1" xfId="14" applyNumberFormat="1" applyFont="1" applyFill="1" applyBorder="1" applyAlignment="1" applyProtection="1">
      <alignment vertical="center"/>
    </xf>
    <xf numFmtId="0" fontId="10" fillId="3" borderId="0" xfId="3" applyFont="1" applyFill="1"/>
    <xf numFmtId="165" fontId="10" fillId="3" borderId="0" xfId="14" applyFont="1" applyFill="1"/>
    <xf numFmtId="165" fontId="35" fillId="3" borderId="5" xfId="28" applyFont="1" applyFill="1" applyBorder="1" applyAlignment="1">
      <alignment vertical="center"/>
    </xf>
    <xf numFmtId="0" fontId="9" fillId="3" borderId="1" xfId="3" applyFont="1" applyFill="1" applyBorder="1" applyAlignment="1">
      <alignment vertical="center" wrapText="1"/>
    </xf>
    <xf numFmtId="43" fontId="3" fillId="3" borderId="0" xfId="3" applyNumberFormat="1" applyFont="1" applyFill="1" applyAlignment="1">
      <alignment vertical="center"/>
    </xf>
    <xf numFmtId="0" fontId="18" fillId="3" borderId="4" xfId="0" applyFont="1" applyFill="1" applyBorder="1" applyAlignment="1">
      <alignment vertical="center"/>
    </xf>
    <xf numFmtId="0" fontId="21" fillId="3" borderId="0" xfId="0" applyFont="1" applyFill="1" applyAlignment="1">
      <alignment vertical="top"/>
    </xf>
    <xf numFmtId="0" fontId="38" fillId="3" borderId="12" xfId="33" applyFont="1" applyFill="1" applyBorder="1" applyAlignment="1">
      <alignment vertical="top"/>
    </xf>
    <xf numFmtId="0" fontId="24" fillId="3" borderId="13" xfId="0" applyFont="1" applyFill="1" applyBorder="1" applyAlignment="1">
      <alignment vertical="top"/>
    </xf>
    <xf numFmtId="0" fontId="24" fillId="3" borderId="11" xfId="27" applyFont="1" applyFill="1" applyBorder="1" applyAlignment="1">
      <alignment horizontal="right" vertical="top"/>
    </xf>
    <xf numFmtId="0" fontId="25" fillId="3" borderId="6" xfId="6" applyFont="1" applyFill="1" applyBorder="1" applyAlignment="1">
      <alignment horizontal="center" vertical="top" wrapText="1"/>
    </xf>
    <xf numFmtId="165" fontId="25" fillId="3" borderId="6" xfId="28" applyFont="1" applyFill="1" applyBorder="1" applyAlignment="1">
      <alignment horizontal="center" vertical="top" wrapText="1"/>
    </xf>
    <xf numFmtId="165" fontId="26" fillId="4" borderId="6" xfId="14" applyFont="1" applyFill="1" applyBorder="1" applyAlignment="1">
      <alignment horizontal="center" vertical="top" wrapText="1"/>
    </xf>
    <xf numFmtId="0" fontId="26" fillId="4" borderId="6" xfId="29" applyFont="1" applyFill="1" applyBorder="1" applyAlignment="1">
      <alignment horizontal="center" vertical="top" wrapText="1"/>
    </xf>
    <xf numFmtId="0" fontId="24" fillId="3" borderId="6" xfId="33" applyFont="1" applyFill="1" applyBorder="1" applyAlignment="1">
      <alignment vertical="top"/>
    </xf>
    <xf numFmtId="0" fontId="28" fillId="3" borderId="1" xfId="6" applyFont="1" applyFill="1" applyBorder="1" applyAlignment="1">
      <alignment horizontal="center" vertical="top" wrapText="1"/>
    </xf>
    <xf numFmtId="0" fontId="21" fillId="3" borderId="1" xfId="0" applyFont="1" applyFill="1" applyBorder="1" applyAlignment="1">
      <alignment vertical="top" wrapText="1"/>
    </xf>
    <xf numFmtId="0" fontId="21" fillId="3" borderId="1" xfId="0" applyFont="1" applyFill="1" applyBorder="1" applyAlignment="1">
      <alignment horizontal="center" vertical="top"/>
    </xf>
    <xf numFmtId="165" fontId="21" fillId="3" borderId="1" xfId="14" applyFont="1" applyFill="1" applyBorder="1" applyAlignment="1">
      <alignment horizontal="center" vertical="top"/>
    </xf>
    <xf numFmtId="0" fontId="21" fillId="3" borderId="1" xfId="0" applyFont="1" applyFill="1" applyBorder="1" applyAlignment="1">
      <alignment vertical="top"/>
    </xf>
    <xf numFmtId="0" fontId="25" fillId="3" borderId="1" xfId="6" applyFont="1" applyFill="1" applyBorder="1" applyAlignment="1">
      <alignment horizontal="center" vertical="top" wrapText="1"/>
    </xf>
    <xf numFmtId="0" fontId="24" fillId="3" borderId="1" xfId="33" applyFont="1" applyFill="1" applyBorder="1" applyAlignment="1">
      <alignment vertical="top"/>
    </xf>
    <xf numFmtId="165" fontId="25" fillId="3" borderId="1" xfId="28" applyFont="1" applyFill="1" applyBorder="1" applyAlignment="1">
      <alignment horizontal="center" vertical="top" wrapText="1"/>
    </xf>
    <xf numFmtId="165" fontId="26" fillId="4" borderId="1" xfId="14" applyFont="1" applyFill="1" applyBorder="1" applyAlignment="1">
      <alignment horizontal="center" vertical="top" wrapText="1"/>
    </xf>
    <xf numFmtId="0" fontId="26" fillId="4" borderId="1" xfId="29" applyFont="1" applyFill="1" applyBorder="1" applyAlignment="1">
      <alignment horizontal="center" vertical="top" wrapText="1"/>
    </xf>
    <xf numFmtId="0" fontId="28" fillId="3" borderId="1" xfId="6" applyFont="1" applyFill="1" applyBorder="1" applyAlignment="1">
      <alignment vertical="top" wrapText="1"/>
    </xf>
    <xf numFmtId="0" fontId="25" fillId="3" borderId="1" xfId="6" applyFont="1" applyFill="1" applyBorder="1" applyAlignment="1">
      <alignment vertical="top" wrapText="1"/>
    </xf>
    <xf numFmtId="0" fontId="28" fillId="3" borderId="1" xfId="34" applyFont="1" applyFill="1" applyBorder="1" applyAlignment="1">
      <alignment horizontal="justify" vertical="top" wrapText="1"/>
    </xf>
    <xf numFmtId="0" fontId="21" fillId="3" borderId="0" xfId="0" applyFont="1" applyFill="1" applyAlignment="1">
      <alignment horizontal="right" vertical="top"/>
    </xf>
    <xf numFmtId="0" fontId="24" fillId="3" borderId="1" xfId="0" applyFont="1" applyFill="1" applyBorder="1" applyAlignment="1">
      <alignment horizontal="center" vertical="top"/>
    </xf>
    <xf numFmtId="0" fontId="21" fillId="3" borderId="0" xfId="0" applyFont="1" applyFill="1" applyAlignment="1">
      <alignment vertical="top" wrapText="1"/>
    </xf>
    <xf numFmtId="0" fontId="21" fillId="3" borderId="0" xfId="0" applyFont="1" applyFill="1" applyAlignment="1">
      <alignment horizontal="center" vertical="top"/>
    </xf>
    <xf numFmtId="165" fontId="21" fillId="3" borderId="0" xfId="14" applyFont="1" applyFill="1" applyAlignment="1">
      <alignment vertical="top"/>
    </xf>
    <xf numFmtId="0" fontId="37" fillId="2" borderId="1" xfId="4" applyNumberFormat="1" applyFont="1" applyFill="1" applyBorder="1" applyAlignment="1" applyProtection="1">
      <alignment horizontal="center" vertical="center"/>
    </xf>
    <xf numFmtId="2" fontId="17" fillId="2" borderId="1" xfId="5" applyNumberFormat="1" applyFont="1" applyFill="1" applyBorder="1" applyAlignment="1">
      <alignment horizontal="center" vertical="center"/>
    </xf>
    <xf numFmtId="170" fontId="17" fillId="2" borderId="1" xfId="5" applyNumberFormat="1" applyFont="1" applyFill="1" applyBorder="1" applyAlignment="1">
      <alignment horizontal="center" vertical="center"/>
    </xf>
    <xf numFmtId="170" fontId="17" fillId="2" borderId="1" xfId="5" applyNumberFormat="1" applyFont="1" applyFill="1" applyBorder="1" applyAlignment="1">
      <alignment horizontal="justify" vertical="center" wrapText="1"/>
    </xf>
    <xf numFmtId="165" fontId="17" fillId="2" borderId="1" xfId="14" applyFont="1" applyFill="1" applyBorder="1" applyAlignment="1">
      <alignment horizontal="center" vertical="center"/>
    </xf>
    <xf numFmtId="43" fontId="17" fillId="2" borderId="1" xfId="4" applyFont="1" applyFill="1" applyBorder="1" applyAlignment="1" applyProtection="1">
      <alignment vertical="center"/>
    </xf>
    <xf numFmtId="43" fontId="17" fillId="0" borderId="1" xfId="3" applyNumberFormat="1" applyFont="1" applyFill="1" applyBorder="1" applyAlignment="1">
      <alignment horizontal="center" vertical="center" wrapText="1"/>
    </xf>
    <xf numFmtId="0" fontId="19" fillId="0" borderId="0" xfId="5" applyFont="1" applyFill="1" applyAlignment="1">
      <alignment wrapText="1"/>
    </xf>
    <xf numFmtId="0" fontId="19" fillId="0" borderId="0" xfId="5" applyFont="1" applyFill="1" applyAlignment="1">
      <alignment horizontal="center" vertical="center" wrapText="1"/>
    </xf>
    <xf numFmtId="0" fontId="19" fillId="0" borderId="1" xfId="5" applyFont="1" applyFill="1" applyBorder="1" applyAlignment="1">
      <alignment horizontal="center" vertical="center"/>
    </xf>
    <xf numFmtId="0" fontId="18" fillId="0" borderId="1" xfId="5" applyFont="1" applyFill="1" applyBorder="1" applyAlignment="1">
      <alignment horizontal="center" vertical="center" wrapText="1"/>
    </xf>
    <xf numFmtId="9" fontId="18" fillId="0" borderId="1" xfId="5" applyNumberFormat="1" applyFont="1" applyFill="1" applyBorder="1" applyAlignment="1">
      <alignment horizontal="center" vertical="center" wrapText="1"/>
    </xf>
    <xf numFmtId="0" fontId="19" fillId="0" borderId="1" xfId="5" applyFont="1" applyFill="1" applyBorder="1" applyAlignment="1">
      <alignment horizontal="center" vertical="center" wrapText="1"/>
    </xf>
    <xf numFmtId="0" fontId="19" fillId="0" borderId="1" xfId="5" applyFont="1" applyFill="1" applyBorder="1" applyAlignment="1">
      <alignment horizontal="left" vertical="center" wrapText="1"/>
    </xf>
    <xf numFmtId="0" fontId="19" fillId="0" borderId="1" xfId="5" applyFont="1" applyFill="1" applyBorder="1" applyAlignment="1">
      <alignment vertical="center" wrapText="1"/>
    </xf>
    <xf numFmtId="0" fontId="19" fillId="0" borderId="1" xfId="3" applyFont="1" applyFill="1" applyBorder="1" applyAlignment="1">
      <alignment horizontal="center" vertical="center" wrapText="1"/>
    </xf>
    <xf numFmtId="0" fontId="19" fillId="0" borderId="1" xfId="3" applyFont="1" applyFill="1" applyBorder="1" applyAlignment="1">
      <alignment horizontal="center" vertical="center"/>
    </xf>
    <xf numFmtId="174" fontId="19" fillId="0" borderId="1" xfId="14" applyNumberFormat="1" applyFont="1" applyFill="1" applyBorder="1" applyAlignment="1">
      <alignment horizontal="center" vertical="center" wrapText="1"/>
    </xf>
    <xf numFmtId="43" fontId="19" fillId="0" borderId="1" xfId="3" applyNumberFormat="1" applyFont="1" applyFill="1" applyBorder="1" applyAlignment="1">
      <alignment horizontal="center" vertical="center" wrapText="1"/>
    </xf>
    <xf numFmtId="2" fontId="19" fillId="0" borderId="1" xfId="3" applyNumberFormat="1" applyFont="1" applyFill="1" applyBorder="1" applyAlignment="1">
      <alignment horizontal="center" vertical="center" wrapText="1"/>
    </xf>
    <xf numFmtId="0" fontId="19" fillId="0" borderId="0" xfId="5" applyFont="1" applyFill="1" applyAlignment="1">
      <alignment vertical="center" wrapText="1"/>
    </xf>
    <xf numFmtId="165" fontId="19" fillId="0" borderId="1" xfId="14" applyFont="1" applyFill="1" applyBorder="1" applyAlignment="1">
      <alignment horizontal="center" vertical="center"/>
    </xf>
    <xf numFmtId="16" fontId="19" fillId="0" borderId="1" xfId="5" applyNumberFormat="1" applyFont="1" applyFill="1" applyBorder="1" applyAlignment="1">
      <alignment horizontal="center" vertical="center"/>
    </xf>
    <xf numFmtId="16" fontId="19" fillId="0" borderId="1" xfId="5" applyNumberFormat="1" applyFont="1" applyFill="1" applyBorder="1" applyAlignment="1">
      <alignment horizontal="center" vertical="center" wrapText="1"/>
    </xf>
    <xf numFmtId="0" fontId="18" fillId="0" borderId="1" xfId="5" applyFont="1" applyFill="1" applyBorder="1" applyAlignment="1">
      <alignment horizontal="left" vertical="center" wrapText="1"/>
    </xf>
    <xf numFmtId="176" fontId="19" fillId="0" borderId="1" xfId="14" applyNumberFormat="1" applyFont="1" applyFill="1" applyBorder="1" applyAlignment="1">
      <alignment horizontal="center" vertical="center" wrapText="1"/>
    </xf>
    <xf numFmtId="43" fontId="19" fillId="0" borderId="0" xfId="5" applyNumberFormat="1" applyFont="1" applyFill="1" applyAlignment="1">
      <alignment horizontal="center" vertical="center" wrapText="1"/>
    </xf>
    <xf numFmtId="0" fontId="18" fillId="0" borderId="1" xfId="5" applyFont="1" applyFill="1" applyBorder="1" applyAlignment="1">
      <alignment horizontal="left" vertical="center"/>
    </xf>
    <xf numFmtId="2" fontId="19" fillId="0" borderId="1" xfId="5" applyNumberFormat="1" applyFont="1" applyFill="1" applyBorder="1" applyAlignment="1">
      <alignment horizontal="center" vertical="center" wrapText="1"/>
    </xf>
    <xf numFmtId="2" fontId="19" fillId="0" borderId="1" xfId="5" applyNumberFormat="1" applyFont="1" applyFill="1" applyBorder="1" applyAlignment="1">
      <alignment horizontal="right" vertical="center" wrapText="1"/>
    </xf>
    <xf numFmtId="0" fontId="19" fillId="0" borderId="1" xfId="37" applyFont="1" applyFill="1" applyBorder="1" applyAlignment="1">
      <alignment horizontal="center" vertical="center" wrapText="1"/>
    </xf>
    <xf numFmtId="0" fontId="19" fillId="0" borderId="1" xfId="37" applyFont="1" applyFill="1" applyBorder="1" applyAlignment="1">
      <alignment horizontal="center" vertical="center"/>
    </xf>
    <xf numFmtId="2" fontId="19" fillId="0" borderId="1" xfId="37" applyNumberFormat="1"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3" xfId="0" applyFont="1" applyFill="1" applyBorder="1" applyAlignment="1">
      <alignment horizontal="center" vertical="center"/>
    </xf>
    <xf numFmtId="0" fontId="18" fillId="0" borderId="0" xfId="0" applyFont="1" applyFill="1" applyAlignment="1">
      <alignment vertical="center"/>
    </xf>
    <xf numFmtId="0" fontId="18"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0" xfId="0" applyFont="1" applyFill="1" applyAlignment="1">
      <alignment horizontal="center" vertical="center"/>
    </xf>
    <xf numFmtId="0" fontId="18" fillId="0" borderId="1" xfId="0" applyFont="1" applyFill="1" applyBorder="1" applyAlignment="1">
      <alignment vertical="center"/>
    </xf>
    <xf numFmtId="0" fontId="19" fillId="0" borderId="2" xfId="0" applyFont="1" applyFill="1" applyBorder="1" applyAlignment="1">
      <alignment vertical="center" wrapText="1"/>
    </xf>
    <xf numFmtId="0" fontId="19" fillId="0" borderId="2"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3" xfId="0" applyFont="1" applyFill="1" applyBorder="1" applyAlignment="1">
      <alignment vertical="center"/>
    </xf>
    <xf numFmtId="0" fontId="19" fillId="0" borderId="1" xfId="0" applyFont="1" applyFill="1" applyBorder="1" applyAlignment="1">
      <alignment vertical="center"/>
    </xf>
    <xf numFmtId="0" fontId="19" fillId="0" borderId="0" xfId="0" applyFont="1" applyFill="1" applyAlignment="1">
      <alignment vertical="center"/>
    </xf>
    <xf numFmtId="0" fontId="19" fillId="0" borderId="1" xfId="0" applyFont="1" applyFill="1" applyBorder="1" applyAlignment="1">
      <alignment horizontal="center" vertical="center" wrapText="1"/>
    </xf>
    <xf numFmtId="0" fontId="18" fillId="0" borderId="1" xfId="0" applyFont="1" applyFill="1" applyBorder="1" applyAlignment="1">
      <alignment vertical="center" wrapText="1"/>
    </xf>
    <xf numFmtId="0" fontId="19" fillId="0" borderId="2" xfId="0" applyFont="1" applyFill="1" applyBorder="1" applyAlignment="1">
      <alignment horizontal="justify" vertical="center" wrapText="1"/>
    </xf>
    <xf numFmtId="0" fontId="19" fillId="0" borderId="4" xfId="0" applyFont="1" applyFill="1" applyBorder="1" applyAlignment="1">
      <alignment horizontal="justify" vertical="center" wrapText="1"/>
    </xf>
    <xf numFmtId="0" fontId="19" fillId="0" borderId="3" xfId="0" applyFont="1" applyFill="1" applyBorder="1" applyAlignment="1">
      <alignment horizontal="justify" vertical="center" wrapText="1"/>
    </xf>
    <xf numFmtId="0" fontId="19" fillId="0" borderId="1" xfId="0" applyFont="1" applyFill="1" applyBorder="1" applyAlignment="1">
      <alignment horizontal="justify" vertical="center" wrapText="1"/>
    </xf>
    <xf numFmtId="0" fontId="19" fillId="0" borderId="2" xfId="0" applyFont="1" applyFill="1" applyBorder="1" applyAlignment="1">
      <alignment vertical="center"/>
    </xf>
    <xf numFmtId="166" fontId="19" fillId="0" borderId="3" xfId="2" applyNumberFormat="1" applyFont="1" applyFill="1" applyBorder="1" applyAlignment="1">
      <alignment vertical="center"/>
    </xf>
    <xf numFmtId="166" fontId="19" fillId="0" borderId="1" xfId="2" applyNumberFormat="1" applyFont="1" applyFill="1" applyBorder="1" applyAlignment="1">
      <alignment vertical="center"/>
    </xf>
    <xf numFmtId="0" fontId="18" fillId="0" borderId="1" xfId="0" applyFont="1" applyFill="1" applyBorder="1" applyAlignment="1">
      <alignment horizontal="left" vertical="center"/>
    </xf>
    <xf numFmtId="0" fontId="19" fillId="0" borderId="1" xfId="0" applyFont="1" applyFill="1" applyBorder="1" applyAlignment="1">
      <alignment vertical="center" wrapText="1"/>
    </xf>
    <xf numFmtId="166" fontId="19" fillId="0" borderId="1" xfId="0" applyNumberFormat="1" applyFont="1" applyFill="1" applyBorder="1" applyAlignment="1">
      <alignment horizontal="right" vertical="center"/>
    </xf>
    <xf numFmtId="166" fontId="19" fillId="0" borderId="1" xfId="14" applyNumberFormat="1" applyFont="1" applyFill="1" applyBorder="1" applyAlignment="1">
      <alignment horizontal="right" vertical="center"/>
    </xf>
    <xf numFmtId="167" fontId="19" fillId="0" borderId="1" xfId="14" applyNumberFormat="1" applyFont="1" applyFill="1" applyBorder="1" applyAlignment="1">
      <alignment horizontal="right" vertical="center"/>
    </xf>
    <xf numFmtId="166" fontId="19" fillId="0" borderId="1" xfId="2" applyNumberFormat="1" applyFont="1" applyFill="1" applyBorder="1" applyAlignment="1">
      <alignment horizontal="right" vertical="center"/>
    </xf>
    <xf numFmtId="166" fontId="19" fillId="0" borderId="1" xfId="0" applyNumberFormat="1" applyFont="1" applyFill="1" applyBorder="1" applyAlignment="1">
      <alignment vertical="center"/>
    </xf>
    <xf numFmtId="0" fontId="0" fillId="0" borderId="1" xfId="0" applyFill="1" applyBorder="1"/>
    <xf numFmtId="167" fontId="19" fillId="0" borderId="1" xfId="14" applyNumberFormat="1" applyFont="1" applyFill="1" applyBorder="1" applyAlignment="1">
      <alignment horizontal="center" vertical="center"/>
    </xf>
    <xf numFmtId="0" fontId="19" fillId="0" borderId="1" xfId="0" applyFont="1" applyFill="1" applyBorder="1" applyAlignment="1">
      <alignment horizontal="left" vertical="center"/>
    </xf>
    <xf numFmtId="167" fontId="19" fillId="0" borderId="3" xfId="14" applyNumberFormat="1" applyFont="1" applyFill="1" applyBorder="1" applyAlignment="1">
      <alignment vertical="center"/>
    </xf>
    <xf numFmtId="167" fontId="19" fillId="0" borderId="1" xfId="14" applyNumberFormat="1" applyFont="1" applyFill="1" applyBorder="1" applyAlignment="1">
      <alignment vertical="center"/>
    </xf>
    <xf numFmtId="167" fontId="19" fillId="0" borderId="3" xfId="14" applyNumberFormat="1" applyFont="1" applyFill="1" applyBorder="1" applyAlignment="1">
      <alignment horizontal="center" vertical="center"/>
    </xf>
    <xf numFmtId="166" fontId="18" fillId="0" borderId="1" xfId="2" applyNumberFormat="1" applyFont="1" applyFill="1" applyBorder="1" applyAlignment="1">
      <alignment vertical="center"/>
    </xf>
    <xf numFmtId="0" fontId="1" fillId="0" borderId="1" xfId="0" applyFont="1" applyFill="1" applyBorder="1" applyAlignment="1">
      <alignment horizontal="center" vertical="center"/>
    </xf>
    <xf numFmtId="43" fontId="2" fillId="0" borderId="1" xfId="36" applyFont="1" applyFill="1" applyBorder="1" applyAlignment="1">
      <alignment vertical="center"/>
    </xf>
    <xf numFmtId="0" fontId="1" fillId="0" borderId="2" xfId="0" applyFont="1" applyFill="1" applyBorder="1" applyAlignment="1">
      <alignment horizontal="center" vertical="center"/>
    </xf>
    <xf numFmtId="0" fontId="0" fillId="0" borderId="2" xfId="0" applyFill="1" applyBorder="1"/>
    <xf numFmtId="0" fontId="18" fillId="0" borderId="1" xfId="1" applyFont="1" applyFill="1" applyBorder="1" applyAlignment="1">
      <alignment horizontal="center" vertical="center" wrapText="1"/>
    </xf>
    <xf numFmtId="0" fontId="18" fillId="0" borderId="1" xfId="1" applyFont="1" applyFill="1" applyBorder="1" applyAlignment="1">
      <alignment horizontal="left" vertical="center"/>
    </xf>
    <xf numFmtId="166" fontId="19" fillId="0" borderId="3" xfId="0" applyNumberFormat="1" applyFont="1" applyFill="1" applyBorder="1" applyAlignment="1">
      <alignment vertical="center"/>
    </xf>
    <xf numFmtId="167" fontId="19" fillId="0" borderId="1" xfId="2" applyNumberFormat="1" applyFont="1" applyFill="1" applyBorder="1" applyAlignment="1">
      <alignment horizontal="left" vertical="center"/>
    </xf>
    <xf numFmtId="166" fontId="18" fillId="0" borderId="1" xfId="0" applyNumberFormat="1" applyFont="1" applyFill="1" applyBorder="1" applyAlignment="1">
      <alignment vertical="center"/>
    </xf>
    <xf numFmtId="167" fontId="2" fillId="0" borderId="1" xfId="14" applyNumberFormat="1" applyFont="1" applyFill="1" applyBorder="1" applyAlignment="1">
      <alignment vertical="center"/>
    </xf>
    <xf numFmtId="167" fontId="19" fillId="0" borderId="3" xfId="2" applyNumberFormat="1" applyFont="1" applyFill="1" applyBorder="1" applyAlignment="1">
      <alignment horizontal="right" vertical="center"/>
    </xf>
    <xf numFmtId="167" fontId="19" fillId="0" borderId="1" xfId="2" applyNumberFormat="1" applyFont="1" applyFill="1" applyBorder="1" applyAlignment="1">
      <alignment horizontal="right" vertical="center"/>
    </xf>
    <xf numFmtId="166" fontId="19" fillId="0" borderId="1" xfId="0" applyNumberFormat="1" applyFont="1" applyFill="1" applyBorder="1" applyAlignment="1">
      <alignment horizontal="center" vertical="center"/>
    </xf>
    <xf numFmtId="167" fontId="19" fillId="0" borderId="2" xfId="14" applyNumberFormat="1" applyFont="1" applyFill="1" applyBorder="1" applyAlignment="1">
      <alignment horizontal="center" vertical="center"/>
    </xf>
    <xf numFmtId="179" fontId="19" fillId="0" borderId="1" xfId="2" applyNumberFormat="1" applyFont="1" applyFill="1" applyBorder="1" applyAlignment="1">
      <alignment vertical="center"/>
    </xf>
    <xf numFmtId="166" fontId="19" fillId="0" borderId="3" xfId="0" applyNumberFormat="1" applyFont="1" applyFill="1" applyBorder="1" applyAlignment="1">
      <alignment horizontal="right" vertical="center"/>
    </xf>
    <xf numFmtId="0" fontId="18" fillId="0" borderId="1" xfId="1" applyFont="1" applyFill="1" applyBorder="1" applyAlignment="1">
      <alignment horizontal="right" vertical="center" wrapText="1"/>
    </xf>
    <xf numFmtId="166" fontId="19" fillId="0" borderId="2" xfId="2" applyNumberFormat="1" applyFont="1" applyFill="1" applyBorder="1" applyAlignment="1">
      <alignment vertical="center"/>
    </xf>
    <xf numFmtId="166" fontId="19" fillId="0" borderId="3" xfId="2" applyNumberFormat="1" applyFont="1" applyFill="1" applyBorder="1" applyAlignment="1">
      <alignment horizontal="center" vertical="center"/>
    </xf>
    <xf numFmtId="166" fontId="19" fillId="0" borderId="1" xfId="2" applyNumberFormat="1" applyFont="1" applyFill="1" applyBorder="1" applyAlignment="1">
      <alignment horizontal="center" vertical="center"/>
    </xf>
    <xf numFmtId="0" fontId="19" fillId="0" borderId="3" xfId="2" applyNumberFormat="1" applyFont="1" applyFill="1" applyBorder="1" applyAlignment="1">
      <alignment vertical="center"/>
    </xf>
    <xf numFmtId="0" fontId="19" fillId="0" borderId="1" xfId="2" applyNumberFormat="1" applyFont="1" applyFill="1" applyBorder="1" applyAlignment="1">
      <alignment vertical="center"/>
    </xf>
    <xf numFmtId="166" fontId="19" fillId="0" borderId="2" xfId="0" applyNumberFormat="1" applyFont="1" applyFill="1" applyBorder="1" applyAlignment="1">
      <alignment horizontal="right" vertical="center"/>
    </xf>
    <xf numFmtId="0" fontId="19" fillId="0" borderId="0" xfId="0" applyFont="1" applyFill="1" applyAlignment="1">
      <alignment vertical="center" wrapText="1"/>
    </xf>
    <xf numFmtId="167" fontId="19" fillId="0" borderId="0" xfId="0" applyNumberFormat="1" applyFont="1" applyFill="1" applyAlignment="1">
      <alignment vertical="center"/>
    </xf>
    <xf numFmtId="0" fontId="18" fillId="0" borderId="1"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3" xfId="0" applyFont="1" applyFill="1" applyBorder="1" applyAlignment="1">
      <alignment horizontal="left" vertical="center" wrapText="1"/>
    </xf>
    <xf numFmtId="0" fontId="19" fillId="0" borderId="1" xfId="0" applyFont="1" applyFill="1" applyBorder="1" applyAlignment="1">
      <alignment horizontal="left" vertical="center" wrapText="1"/>
    </xf>
    <xf numFmtId="166" fontId="19" fillId="0" borderId="4" xfId="2" applyNumberFormat="1" applyFont="1" applyFill="1" applyBorder="1" applyAlignment="1">
      <alignment vertical="center"/>
    </xf>
    <xf numFmtId="0" fontId="19" fillId="0" borderId="3" xfId="0" applyFont="1" applyFill="1" applyBorder="1" applyAlignment="1">
      <alignment horizontal="right" vertical="center"/>
    </xf>
    <xf numFmtId="0" fontId="19" fillId="0" borderId="1" xfId="0" applyFont="1" applyFill="1" applyBorder="1" applyAlignment="1">
      <alignment horizontal="right" vertical="center"/>
    </xf>
    <xf numFmtId="166" fontId="19" fillId="0" borderId="0" xfId="2" applyNumberFormat="1" applyFont="1" applyFill="1" applyBorder="1" applyAlignment="1">
      <alignment vertical="center"/>
    </xf>
    <xf numFmtId="0" fontId="18" fillId="0" borderId="0" xfId="0" applyFont="1" applyFill="1" applyAlignment="1">
      <alignment horizontal="left" vertical="center"/>
    </xf>
    <xf numFmtId="167" fontId="19" fillId="0" borderId="0" xfId="14" applyNumberFormat="1" applyFont="1" applyFill="1" applyBorder="1" applyAlignment="1">
      <alignment vertical="center"/>
    </xf>
    <xf numFmtId="167" fontId="2" fillId="0" borderId="0" xfId="14" applyNumberFormat="1" applyFont="1" applyFill="1" applyBorder="1" applyAlignment="1">
      <alignment vertical="center"/>
    </xf>
    <xf numFmtId="166" fontId="18" fillId="0" borderId="0" xfId="2" applyNumberFormat="1" applyFont="1" applyFill="1" applyBorder="1" applyAlignment="1">
      <alignment vertical="center"/>
    </xf>
    <xf numFmtId="167" fontId="19" fillId="0" borderId="0" xfId="14" applyNumberFormat="1" applyFont="1" applyFill="1" applyBorder="1" applyAlignment="1">
      <alignment horizontal="right" vertical="center"/>
    </xf>
    <xf numFmtId="167" fontId="19" fillId="0" borderId="0" xfId="14" applyNumberFormat="1" applyFont="1" applyFill="1" applyBorder="1" applyAlignment="1">
      <alignment horizontal="center" vertical="center"/>
    </xf>
    <xf numFmtId="166" fontId="19" fillId="0" borderId="0" xfId="2" applyNumberFormat="1" applyFont="1" applyFill="1" applyBorder="1" applyAlignment="1">
      <alignment horizontal="right" vertical="center"/>
    </xf>
    <xf numFmtId="166" fontId="2" fillId="0" borderId="1" xfId="0" applyNumberFormat="1" applyFont="1" applyFill="1" applyBorder="1" applyAlignment="1">
      <alignment vertical="center"/>
    </xf>
    <xf numFmtId="166" fontId="2" fillId="0" borderId="1" xfId="36" applyNumberFormat="1" applyFont="1" applyFill="1" applyBorder="1" applyAlignment="1">
      <alignment vertical="center"/>
    </xf>
    <xf numFmtId="167" fontId="19" fillId="0" borderId="0" xfId="2" applyNumberFormat="1" applyFont="1" applyFill="1" applyBorder="1" applyAlignment="1">
      <alignment horizontal="right" vertical="center"/>
    </xf>
    <xf numFmtId="166" fontId="19" fillId="0" borderId="3" xfId="0" applyNumberFormat="1" applyFont="1" applyFill="1" applyBorder="1" applyAlignment="1">
      <alignment horizontal="center" vertical="center"/>
    </xf>
    <xf numFmtId="166" fontId="19" fillId="0" borderId="0" xfId="0" applyNumberFormat="1" applyFont="1" applyFill="1" applyAlignment="1">
      <alignment vertical="center"/>
    </xf>
    <xf numFmtId="166" fontId="18" fillId="0" borderId="0" xfId="0" applyNumberFormat="1" applyFont="1" applyFill="1" applyAlignment="1">
      <alignment vertical="center"/>
    </xf>
    <xf numFmtId="166" fontId="19" fillId="0" borderId="4" xfId="2" applyNumberFormat="1" applyFont="1" applyFill="1" applyBorder="1" applyAlignment="1">
      <alignment horizontal="center" vertical="center"/>
    </xf>
    <xf numFmtId="0" fontId="18" fillId="0" borderId="2" xfId="0" applyFont="1" applyFill="1" applyBorder="1" applyAlignment="1">
      <alignment vertical="center" wrapText="1"/>
    </xf>
    <xf numFmtId="0" fontId="19" fillId="0" borderId="2" xfId="0" applyFont="1" applyFill="1" applyBorder="1" applyAlignment="1">
      <alignment horizontal="center" vertical="center" wrapText="1"/>
    </xf>
    <xf numFmtId="0" fontId="19" fillId="0" borderId="7" xfId="0" applyFont="1" applyFill="1" applyBorder="1" applyAlignment="1">
      <alignment vertical="center" wrapText="1"/>
    </xf>
    <xf numFmtId="0" fontId="18" fillId="0" borderId="2" xfId="0" applyFont="1" applyFill="1" applyBorder="1" applyAlignment="1">
      <alignment vertical="center"/>
    </xf>
    <xf numFmtId="166" fontId="18" fillId="0" borderId="1" xfId="0" applyNumberFormat="1" applyFont="1" applyFill="1" applyBorder="1" applyAlignment="1">
      <alignment horizontal="center" vertical="center"/>
    </xf>
    <xf numFmtId="166" fontId="19" fillId="0" borderId="2" xfId="0" applyNumberFormat="1" applyFont="1" applyFill="1" applyBorder="1" applyAlignment="1">
      <alignment vertical="center"/>
    </xf>
    <xf numFmtId="0" fontId="19" fillId="0" borderId="4" xfId="0" applyFont="1" applyFill="1" applyBorder="1" applyAlignment="1">
      <alignment vertical="center"/>
    </xf>
    <xf numFmtId="166" fontId="18" fillId="0" borderId="4" xfId="2" applyNumberFormat="1" applyFont="1" applyFill="1" applyBorder="1" applyAlignment="1">
      <alignment vertical="center"/>
    </xf>
    <xf numFmtId="0" fontId="18" fillId="0" borderId="3" xfId="0" applyFont="1" applyFill="1" applyBorder="1" applyAlignment="1">
      <alignment vertical="center"/>
    </xf>
    <xf numFmtId="1" fontId="19" fillId="0" borderId="3" xfId="0" applyNumberFormat="1" applyFont="1" applyFill="1" applyBorder="1" applyAlignment="1">
      <alignment horizontal="center" vertical="center"/>
    </xf>
    <xf numFmtId="0" fontId="18" fillId="0" borderId="4" xfId="0" applyFont="1" applyFill="1" applyBorder="1" applyAlignment="1">
      <alignment horizontal="left" vertical="center" wrapText="1"/>
    </xf>
    <xf numFmtId="0" fontId="18" fillId="0" borderId="3" xfId="0" applyFont="1" applyFill="1" applyBorder="1" applyAlignment="1">
      <alignment horizontal="left" vertical="center" wrapText="1"/>
    </xf>
    <xf numFmtId="0" fontId="18" fillId="0" borderId="1" xfId="1" applyFont="1" applyFill="1" applyBorder="1" applyAlignment="1">
      <alignment horizontal="left" vertical="center" wrapText="1"/>
    </xf>
    <xf numFmtId="166" fontId="19" fillId="0" borderId="4" xfId="0" applyNumberFormat="1" applyFont="1" applyFill="1" applyBorder="1" applyAlignment="1">
      <alignment horizontal="center" vertical="center"/>
    </xf>
    <xf numFmtId="165" fontId="19" fillId="0" borderId="2" xfId="14" applyFont="1" applyFill="1" applyBorder="1" applyAlignment="1">
      <alignment vertical="center"/>
    </xf>
    <xf numFmtId="165" fontId="19" fillId="0" borderId="1" xfId="14" applyFont="1" applyFill="1" applyBorder="1" applyAlignment="1">
      <alignment vertical="center"/>
    </xf>
    <xf numFmtId="165" fontId="19" fillId="0" borderId="4" xfId="14" applyFont="1" applyFill="1" applyBorder="1" applyAlignment="1">
      <alignment horizontal="center" vertical="center"/>
    </xf>
    <xf numFmtId="166" fontId="19" fillId="0" borderId="4" xfId="0" applyNumberFormat="1" applyFont="1" applyFill="1" applyBorder="1" applyAlignment="1">
      <alignment vertical="center"/>
    </xf>
    <xf numFmtId="0" fontId="19" fillId="0" borderId="1" xfId="0" applyFont="1" applyFill="1" applyBorder="1" applyAlignment="1">
      <alignment vertical="top" wrapText="1"/>
    </xf>
    <xf numFmtId="0" fontId="18" fillId="0" borderId="2" xfId="0" applyFont="1" applyFill="1" applyBorder="1" applyAlignment="1">
      <alignment horizontal="left" vertical="center" wrapText="1"/>
    </xf>
    <xf numFmtId="166" fontId="1" fillId="0" borderId="1" xfId="36" applyNumberFormat="1" applyFont="1" applyFill="1" applyBorder="1" applyAlignment="1">
      <alignment vertical="center"/>
    </xf>
    <xf numFmtId="166" fontId="0" fillId="0" borderId="1" xfId="0" applyNumberFormat="1" applyFill="1" applyBorder="1"/>
    <xf numFmtId="0" fontId="19" fillId="0" borderId="14" xfId="0" applyFont="1" applyFill="1" applyBorder="1" applyAlignment="1">
      <alignment horizontal="center" vertical="center"/>
    </xf>
    <xf numFmtId="0" fontId="19" fillId="0" borderId="15" xfId="0" applyFont="1" applyFill="1" applyBorder="1" applyAlignment="1">
      <alignment horizontal="center" vertical="center"/>
    </xf>
    <xf numFmtId="0" fontId="19" fillId="0" borderId="16" xfId="0" applyFont="1" applyFill="1" applyBorder="1" applyAlignment="1">
      <alignment horizontal="center" vertical="center"/>
    </xf>
    <xf numFmtId="0" fontId="19" fillId="0" borderId="12" xfId="0" applyFont="1" applyFill="1" applyBorder="1" applyAlignment="1">
      <alignment vertical="center" wrapText="1"/>
    </xf>
    <xf numFmtId="0" fontId="19" fillId="0" borderId="12" xfId="0" applyFont="1" applyFill="1" applyBorder="1" applyAlignment="1">
      <alignment horizontal="center" vertical="center"/>
    </xf>
    <xf numFmtId="0" fontId="19" fillId="0" borderId="13" xfId="0" applyFont="1" applyFill="1" applyBorder="1" applyAlignment="1">
      <alignment horizontal="center" vertical="center"/>
    </xf>
    <xf numFmtId="0" fontId="19" fillId="0" borderId="11" xfId="0" applyFont="1" applyFill="1" applyBorder="1" applyAlignment="1">
      <alignment horizontal="center" vertical="center"/>
    </xf>
    <xf numFmtId="166" fontId="19" fillId="0" borderId="11" xfId="0" applyNumberFormat="1" applyFont="1" applyFill="1" applyBorder="1" applyAlignment="1">
      <alignment vertical="center"/>
    </xf>
    <xf numFmtId="166" fontId="18" fillId="0" borderId="1" xfId="2" applyNumberFormat="1" applyFont="1" applyFill="1" applyBorder="1" applyAlignment="1">
      <alignment horizontal="center" vertical="center"/>
    </xf>
    <xf numFmtId="165" fontId="19" fillId="0" borderId="3" xfId="14" applyFont="1" applyFill="1" applyBorder="1" applyAlignment="1">
      <alignment vertical="center"/>
    </xf>
    <xf numFmtId="0" fontId="19" fillId="0" borderId="0" xfId="0" applyFont="1" applyFill="1" applyAlignment="1">
      <alignment horizontal="center" vertical="center"/>
    </xf>
    <xf numFmtId="166" fontId="19" fillId="0" borderId="2" xfId="0" applyNumberFormat="1" applyFont="1" applyFill="1" applyBorder="1" applyAlignment="1">
      <alignment horizontal="center" vertical="center"/>
    </xf>
    <xf numFmtId="166" fontId="19" fillId="0" borderId="1" xfId="39" applyNumberFormat="1" applyFont="1" applyFill="1" applyBorder="1" applyAlignment="1">
      <alignment horizontal="right" vertical="center"/>
    </xf>
    <xf numFmtId="0" fontId="19" fillId="0" borderId="4" xfId="0" applyFont="1" applyFill="1" applyBorder="1" applyAlignment="1">
      <alignment vertical="center" wrapText="1"/>
    </xf>
    <xf numFmtId="0" fontId="18" fillId="0" borderId="1" xfId="0" applyFont="1" applyFill="1" applyBorder="1" applyAlignment="1">
      <alignment horizontal="justify" vertical="center" wrapText="1"/>
    </xf>
    <xf numFmtId="167" fontId="19" fillId="0" borderId="2" xfId="14" applyNumberFormat="1" applyFont="1" applyFill="1" applyBorder="1" applyAlignment="1">
      <alignment vertical="center"/>
    </xf>
    <xf numFmtId="2" fontId="19" fillId="0" borderId="1" xfId="0" applyNumberFormat="1" applyFont="1" applyFill="1" applyBorder="1" applyAlignment="1">
      <alignment vertical="center"/>
    </xf>
    <xf numFmtId="2" fontId="19" fillId="0" borderId="3" xfId="0" applyNumberFormat="1" applyFont="1" applyFill="1" applyBorder="1" applyAlignment="1">
      <alignment vertical="center"/>
    </xf>
    <xf numFmtId="167" fontId="18" fillId="0" borderId="1" xfId="14" applyNumberFormat="1" applyFont="1" applyFill="1" applyBorder="1" applyAlignment="1">
      <alignment horizontal="left" vertical="center"/>
    </xf>
    <xf numFmtId="0" fontId="6" fillId="0" borderId="1" xfId="0" applyFont="1" applyFill="1" applyBorder="1" applyAlignment="1">
      <alignment horizontal="left"/>
    </xf>
    <xf numFmtId="0" fontId="0" fillId="0" borderId="3" xfId="0" applyFill="1" applyBorder="1"/>
    <xf numFmtId="166" fontId="18" fillId="0" borderId="1" xfId="2" applyNumberFormat="1" applyFont="1" applyFill="1" applyBorder="1" applyAlignment="1">
      <alignment horizontal="right" vertical="center"/>
    </xf>
    <xf numFmtId="167" fontId="0" fillId="0" borderId="1" xfId="14" applyNumberFormat="1" applyFont="1" applyFill="1" applyBorder="1"/>
    <xf numFmtId="0" fontId="6" fillId="0" borderId="1" xfId="0" applyFont="1" applyFill="1" applyBorder="1"/>
    <xf numFmtId="0" fontId="18" fillId="0" borderId="4" xfId="0" applyFont="1" applyFill="1" applyBorder="1" applyAlignment="1">
      <alignment horizontal="center" vertical="center"/>
    </xf>
    <xf numFmtId="167" fontId="18" fillId="0" borderId="2" xfId="14" applyNumberFormat="1" applyFont="1" applyFill="1" applyBorder="1" applyAlignment="1">
      <alignment horizontal="center" vertical="center"/>
    </xf>
    <xf numFmtId="167" fontId="18" fillId="0" borderId="3" xfId="14" applyNumberFormat="1" applyFont="1" applyFill="1" applyBorder="1" applyAlignment="1">
      <alignment horizontal="center" vertical="center"/>
    </xf>
    <xf numFmtId="167" fontId="18" fillId="0" borderId="1" xfId="14" applyNumberFormat="1" applyFont="1" applyFill="1" applyBorder="1" applyAlignment="1">
      <alignment horizontal="center" vertical="center"/>
    </xf>
    <xf numFmtId="43" fontId="1" fillId="0" borderId="1" xfId="36" applyFont="1" applyFill="1" applyBorder="1" applyAlignment="1">
      <alignment vertical="center"/>
    </xf>
    <xf numFmtId="174" fontId="3" fillId="3" borderId="0" xfId="3" applyNumberFormat="1" applyFont="1" applyFill="1"/>
    <xf numFmtId="0" fontId="19" fillId="2" borderId="0" xfId="5" applyFont="1" applyFill="1" applyAlignment="1">
      <alignment wrapText="1"/>
    </xf>
    <xf numFmtId="0" fontId="19" fillId="2" borderId="1" xfId="5" applyFont="1" applyFill="1" applyBorder="1" applyAlignment="1">
      <alignment horizontal="center" vertical="center"/>
    </xf>
    <xf numFmtId="0" fontId="19" fillId="2" borderId="3" xfId="5" applyFont="1" applyFill="1" applyBorder="1" applyAlignment="1">
      <alignment horizontal="center" vertical="center"/>
    </xf>
    <xf numFmtId="169" fontId="34" fillId="3" borderId="1" xfId="4" applyNumberFormat="1" applyFont="1" applyFill="1" applyBorder="1" applyAlignment="1">
      <alignment horizontal="center" vertical="center" wrapText="1"/>
    </xf>
    <xf numFmtId="0" fontId="9" fillId="3" borderId="1" xfId="3" applyFont="1" applyFill="1" applyBorder="1" applyAlignment="1">
      <alignment horizontal="center" vertical="center"/>
    </xf>
    <xf numFmtId="169" fontId="20" fillId="3" borderId="1" xfId="4" applyNumberFormat="1" applyFont="1" applyFill="1" applyBorder="1" applyAlignment="1">
      <alignment horizontal="center" vertical="center" wrapText="1"/>
    </xf>
    <xf numFmtId="0" fontId="19" fillId="0" borderId="2" xfId="0"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3" xfId="0" applyFont="1" applyFill="1" applyBorder="1" applyAlignment="1">
      <alignment horizontal="left" vertical="center" wrapText="1"/>
    </xf>
    <xf numFmtId="167" fontId="19" fillId="0" borderId="2" xfId="14" applyNumberFormat="1" applyFont="1" applyFill="1" applyBorder="1" applyAlignment="1">
      <alignment horizontal="center" vertical="center"/>
    </xf>
    <xf numFmtId="167" fontId="19" fillId="0" borderId="3" xfId="14" applyNumberFormat="1" applyFont="1" applyFill="1" applyBorder="1" applyAlignment="1">
      <alignment horizontal="center" vertical="center"/>
    </xf>
    <xf numFmtId="166" fontId="19" fillId="0" borderId="2" xfId="0" applyNumberFormat="1" applyFont="1" applyFill="1" applyBorder="1" applyAlignment="1">
      <alignment horizontal="center" vertical="center"/>
    </xf>
    <xf numFmtId="166" fontId="19" fillId="0" borderId="3" xfId="0" applyNumberFormat="1" applyFont="1" applyFill="1" applyBorder="1" applyAlignment="1">
      <alignment horizontal="center" vertical="center"/>
    </xf>
    <xf numFmtId="0" fontId="18" fillId="0" borderId="1" xfId="0" applyFont="1" applyFill="1" applyBorder="1" applyAlignment="1">
      <alignment horizontal="justify" vertical="center" wrapText="1"/>
    </xf>
    <xf numFmtId="0" fontId="19" fillId="0" borderId="2" xfId="0" applyFont="1" applyFill="1" applyBorder="1" applyAlignment="1">
      <alignment horizontal="justify" vertical="center" wrapText="1"/>
    </xf>
    <xf numFmtId="0" fontId="19" fillId="0" borderId="4" xfId="0" applyFont="1" applyFill="1" applyBorder="1" applyAlignment="1">
      <alignment horizontal="justify" vertical="center" wrapText="1"/>
    </xf>
    <xf numFmtId="0" fontId="19" fillId="0" borderId="3" xfId="0" applyFont="1" applyFill="1" applyBorder="1" applyAlignment="1">
      <alignment horizontal="justify" vertical="center" wrapText="1"/>
    </xf>
    <xf numFmtId="0" fontId="19" fillId="0" borderId="1" xfId="0" applyFont="1" applyFill="1" applyBorder="1" applyAlignment="1">
      <alignment horizontal="justify" vertical="center" wrapText="1"/>
    </xf>
    <xf numFmtId="166" fontId="19" fillId="0" borderId="1" xfId="0" applyNumberFormat="1" applyFont="1" applyFill="1" applyBorder="1" applyAlignment="1">
      <alignment horizontal="center" vertical="center"/>
    </xf>
    <xf numFmtId="166" fontId="19" fillId="0" borderId="2" xfId="2" applyNumberFormat="1" applyFont="1" applyFill="1" applyBorder="1" applyAlignment="1">
      <alignment horizontal="center" vertical="center"/>
    </xf>
    <xf numFmtId="166" fontId="19" fillId="0" borderId="3" xfId="2" applyNumberFormat="1" applyFont="1" applyFill="1" applyBorder="1" applyAlignment="1">
      <alignment horizontal="center" vertical="center"/>
    </xf>
    <xf numFmtId="0" fontId="19" fillId="0" borderId="2" xfId="1" applyFont="1" applyFill="1" applyBorder="1" applyAlignment="1">
      <alignment horizontal="left" vertical="center" wrapText="1"/>
    </xf>
    <xf numFmtId="0" fontId="19" fillId="0" borderId="4" xfId="1" applyFont="1" applyFill="1" applyBorder="1" applyAlignment="1">
      <alignment horizontal="left" vertical="center" wrapText="1"/>
    </xf>
    <xf numFmtId="0" fontId="19" fillId="0" borderId="3" xfId="1" applyFont="1" applyFill="1" applyBorder="1" applyAlignment="1">
      <alignment horizontal="left" vertical="center" wrapText="1"/>
    </xf>
    <xf numFmtId="0" fontId="19" fillId="0" borderId="2" xfId="0" applyFont="1" applyFill="1" applyBorder="1" applyAlignment="1">
      <alignment horizontal="justify" vertical="top" wrapText="1"/>
    </xf>
    <xf numFmtId="0" fontId="19" fillId="0" borderId="4" xfId="0" applyFont="1" applyFill="1" applyBorder="1" applyAlignment="1">
      <alignment horizontal="justify" vertical="top" wrapText="1"/>
    </xf>
    <xf numFmtId="0" fontId="19" fillId="0" borderId="3" xfId="0" applyFont="1" applyFill="1" applyBorder="1" applyAlignment="1">
      <alignment horizontal="justify" vertical="top" wrapText="1"/>
    </xf>
    <xf numFmtId="0" fontId="19" fillId="0" borderId="1" xfId="0" applyFont="1" applyFill="1" applyBorder="1" applyAlignment="1">
      <alignment horizontal="left" vertical="center" wrapText="1"/>
    </xf>
    <xf numFmtId="0" fontId="19" fillId="0" borderId="2" xfId="0" applyFont="1" applyFill="1" applyBorder="1" applyAlignment="1">
      <alignment horizontal="left" vertical="top" wrapText="1"/>
    </xf>
    <xf numFmtId="0" fontId="19" fillId="0" borderId="4" xfId="0" applyFont="1" applyFill="1" applyBorder="1" applyAlignment="1">
      <alignment horizontal="left" vertical="top" wrapText="1"/>
    </xf>
    <xf numFmtId="0" fontId="19" fillId="0" borderId="3" xfId="0" applyFont="1" applyFill="1" applyBorder="1" applyAlignment="1">
      <alignment horizontal="left" vertical="top" wrapText="1"/>
    </xf>
    <xf numFmtId="0" fontId="18" fillId="0" borderId="2"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3" xfId="0" applyFont="1" applyFill="1" applyBorder="1" applyAlignment="1">
      <alignment horizontal="left" vertical="center" wrapText="1"/>
    </xf>
    <xf numFmtId="166" fontId="19" fillId="0" borderId="1" xfId="2" applyNumberFormat="1" applyFont="1" applyFill="1" applyBorder="1" applyAlignment="1">
      <alignment horizontal="center" vertical="center"/>
    </xf>
    <xf numFmtId="0" fontId="20" fillId="0" borderId="0" xfId="0" applyFont="1" applyFill="1" applyAlignment="1">
      <alignment horizontal="center" vertical="center" wrapText="1"/>
    </xf>
    <xf numFmtId="0" fontId="20" fillId="0" borderId="0" xfId="0" applyFont="1" applyFill="1" applyAlignment="1">
      <alignment horizontal="center" vertical="center"/>
    </xf>
    <xf numFmtId="0" fontId="18" fillId="0" borderId="2" xfId="0" applyFont="1" applyFill="1" applyBorder="1" applyAlignment="1">
      <alignment horizontal="center" vertical="center"/>
    </xf>
    <xf numFmtId="0" fontId="18" fillId="0" borderId="4"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2" xfId="0" applyFont="1" applyFill="1" applyBorder="1" applyAlignment="1">
      <alignment horizontal="left" vertical="center"/>
    </xf>
    <xf numFmtId="0" fontId="18" fillId="0" borderId="4" xfId="0" applyFont="1" applyFill="1" applyBorder="1" applyAlignment="1">
      <alignment horizontal="left" vertical="center"/>
    </xf>
    <xf numFmtId="0" fontId="18" fillId="0" borderId="3" xfId="0" applyFont="1" applyFill="1" applyBorder="1" applyAlignment="1">
      <alignment horizontal="left" vertical="center"/>
    </xf>
    <xf numFmtId="0" fontId="19" fillId="0" borderId="1" xfId="0" applyFont="1" applyFill="1" applyBorder="1" applyAlignment="1">
      <alignment horizontal="justify" vertical="top" wrapText="1"/>
    </xf>
    <xf numFmtId="0" fontId="20" fillId="0" borderId="0" xfId="5" applyFont="1" applyFill="1" applyAlignment="1">
      <alignment horizontal="center" vertical="center" wrapText="1"/>
    </xf>
    <xf numFmtId="0" fontId="20" fillId="2" borderId="0" xfId="5" applyFont="1" applyFill="1" applyAlignment="1">
      <alignment horizontal="center" vertical="center" wrapText="1"/>
    </xf>
    <xf numFmtId="0" fontId="19" fillId="2" borderId="2" xfId="5" applyFont="1" applyFill="1" applyBorder="1" applyAlignment="1">
      <alignment horizontal="center" vertical="center"/>
    </xf>
    <xf numFmtId="0" fontId="19" fillId="2" borderId="3" xfId="5" applyFont="1" applyFill="1" applyBorder="1" applyAlignment="1">
      <alignment horizontal="center" vertical="center"/>
    </xf>
    <xf numFmtId="170" fontId="48" fillId="3" borderId="0" xfId="5" applyNumberFormat="1" applyFont="1" applyFill="1" applyAlignment="1">
      <alignment horizontal="center" vertical="center" wrapText="1"/>
    </xf>
    <xf numFmtId="170" fontId="48" fillId="3" borderId="0" xfId="5" applyNumberFormat="1" applyFont="1" applyFill="1" applyAlignment="1">
      <alignment horizontal="center" vertical="center"/>
    </xf>
    <xf numFmtId="0" fontId="15" fillId="3" borderId="14" xfId="3" applyFont="1" applyFill="1" applyBorder="1" applyAlignment="1">
      <alignment horizontal="center" vertical="center" wrapText="1"/>
    </xf>
    <xf numFmtId="0" fontId="15" fillId="3" borderId="15" xfId="3" applyFont="1" applyFill="1" applyBorder="1" applyAlignment="1">
      <alignment horizontal="center" vertical="center" wrapText="1"/>
    </xf>
    <xf numFmtId="0" fontId="15" fillId="3" borderId="16" xfId="3" applyFont="1" applyFill="1" applyBorder="1" applyAlignment="1">
      <alignment horizontal="center" vertical="center" wrapText="1"/>
    </xf>
    <xf numFmtId="0" fontId="2" fillId="3" borderId="2" xfId="3" applyFont="1" applyFill="1" applyBorder="1" applyAlignment="1">
      <alignment horizontal="center" vertical="center" wrapText="1"/>
    </xf>
    <xf numFmtId="0" fontId="2" fillId="3" borderId="4" xfId="3" applyFont="1" applyFill="1" applyBorder="1" applyAlignment="1">
      <alignment horizontal="center" vertical="center" wrapText="1"/>
    </xf>
    <xf numFmtId="0" fontId="2" fillId="3" borderId="3" xfId="3" applyFont="1" applyFill="1" applyBorder="1" applyAlignment="1">
      <alignment horizontal="center" vertical="center" wrapText="1"/>
    </xf>
    <xf numFmtId="0" fontId="15" fillId="0" borderId="0" xfId="3" applyFont="1" applyAlignment="1">
      <alignment horizontal="center" vertical="center" wrapText="1"/>
    </xf>
    <xf numFmtId="0" fontId="30" fillId="3" borderId="14" xfId="27" applyFont="1" applyFill="1" applyBorder="1" applyAlignment="1">
      <alignment horizontal="center" vertical="center" wrapText="1"/>
    </xf>
    <xf numFmtId="0" fontId="30" fillId="3" borderId="15" xfId="27" applyFont="1" applyFill="1" applyBorder="1" applyAlignment="1">
      <alignment horizontal="center" vertical="center" wrapText="1"/>
    </xf>
    <xf numFmtId="0" fontId="30" fillId="3" borderId="16" xfId="27" applyFont="1" applyFill="1" applyBorder="1" applyAlignment="1">
      <alignment horizontal="center" vertical="center" wrapText="1"/>
    </xf>
    <xf numFmtId="0" fontId="30" fillId="3" borderId="2" xfId="27" applyFont="1" applyFill="1" applyBorder="1" applyAlignment="1">
      <alignment horizontal="center" vertical="center"/>
    </xf>
    <xf numFmtId="0" fontId="30" fillId="3" borderId="4" xfId="27" applyFont="1" applyFill="1" applyBorder="1" applyAlignment="1">
      <alignment horizontal="center" vertical="center"/>
    </xf>
    <xf numFmtId="0" fontId="30" fillId="3" borderId="3" xfId="27" applyFont="1" applyFill="1" applyBorder="1" applyAlignment="1">
      <alignment horizontal="center" vertical="center"/>
    </xf>
    <xf numFmtId="0" fontId="24" fillId="3" borderId="14" xfId="27" applyFont="1" applyFill="1" applyBorder="1" applyAlignment="1">
      <alignment horizontal="center" vertical="center" wrapText="1"/>
    </xf>
    <xf numFmtId="0" fontId="24" fillId="3" borderId="15" xfId="27" applyFont="1" applyFill="1" applyBorder="1" applyAlignment="1">
      <alignment horizontal="center" vertical="center" wrapText="1"/>
    </xf>
    <xf numFmtId="0" fontId="24" fillId="3" borderId="16" xfId="27" applyFont="1" applyFill="1" applyBorder="1" applyAlignment="1">
      <alignment horizontal="center" vertical="center" wrapText="1"/>
    </xf>
    <xf numFmtId="0" fontId="24" fillId="3" borderId="2" xfId="27" applyFont="1" applyFill="1" applyBorder="1" applyAlignment="1">
      <alignment horizontal="center" vertical="center" wrapText="1"/>
    </xf>
    <xf numFmtId="0" fontId="24" fillId="3" borderId="4" xfId="27" applyFont="1" applyFill="1" applyBorder="1" applyAlignment="1">
      <alignment horizontal="center" vertical="center" wrapText="1"/>
    </xf>
    <xf numFmtId="0" fontId="24" fillId="3" borderId="3" xfId="27" applyFont="1" applyFill="1" applyBorder="1" applyAlignment="1">
      <alignment horizontal="center" vertical="center" wrapText="1"/>
    </xf>
    <xf numFmtId="0" fontId="19" fillId="3" borderId="2" xfId="0" applyFont="1" applyFill="1" applyBorder="1" applyAlignment="1">
      <alignment horizontal="left" vertical="center" wrapText="1"/>
    </xf>
    <xf numFmtId="0" fontId="19" fillId="3" borderId="4" xfId="0" applyFont="1" applyFill="1" applyBorder="1" applyAlignment="1">
      <alignment horizontal="left" vertical="center" wrapText="1"/>
    </xf>
    <xf numFmtId="0" fontId="19" fillId="3" borderId="3" xfId="0" applyFont="1" applyFill="1" applyBorder="1" applyAlignment="1">
      <alignment horizontal="left" vertical="center" wrapText="1"/>
    </xf>
    <xf numFmtId="0" fontId="19" fillId="3" borderId="2" xfId="0" applyFont="1" applyFill="1" applyBorder="1" applyAlignment="1">
      <alignment horizontal="left" vertical="top" wrapText="1"/>
    </xf>
    <xf numFmtId="0" fontId="19" fillId="3" borderId="4" xfId="0" applyFont="1" applyFill="1" applyBorder="1" applyAlignment="1">
      <alignment horizontal="left" vertical="top" wrapText="1"/>
    </xf>
    <xf numFmtId="0" fontId="19" fillId="3" borderId="3" xfId="0" applyFont="1" applyFill="1" applyBorder="1" applyAlignment="1">
      <alignment horizontal="left" vertical="top" wrapText="1"/>
    </xf>
    <xf numFmtId="0" fontId="18" fillId="3" borderId="2"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8" fillId="3" borderId="3" xfId="0" applyFont="1" applyFill="1" applyBorder="1" applyAlignment="1">
      <alignment horizontal="left" vertical="center" wrapText="1"/>
    </xf>
    <xf numFmtId="0" fontId="18" fillId="3" borderId="2" xfId="0" applyFont="1" applyFill="1" applyBorder="1" applyAlignment="1">
      <alignment horizontal="left" vertical="center"/>
    </xf>
    <xf numFmtId="0" fontId="18" fillId="3" borderId="4" xfId="0" applyFont="1" applyFill="1" applyBorder="1" applyAlignment="1">
      <alignment horizontal="left" vertical="center"/>
    </xf>
    <xf numFmtId="0" fontId="18" fillId="3" borderId="3" xfId="0" applyFont="1" applyFill="1" applyBorder="1" applyAlignment="1">
      <alignment horizontal="left" vertical="center"/>
    </xf>
    <xf numFmtId="0" fontId="20" fillId="3" borderId="0" xfId="0" applyFont="1" applyFill="1" applyAlignment="1">
      <alignment horizontal="center" vertical="center" wrapText="1"/>
    </xf>
    <xf numFmtId="0" fontId="20" fillId="3" borderId="0" xfId="0" applyFont="1" applyFill="1" applyAlignment="1">
      <alignment horizontal="center" vertical="center"/>
    </xf>
    <xf numFmtId="0" fontId="18" fillId="3" borderId="2"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3" xfId="0" applyFont="1" applyFill="1" applyBorder="1" applyAlignment="1">
      <alignment horizontal="center" vertical="center"/>
    </xf>
    <xf numFmtId="0" fontId="24" fillId="3" borderId="6" xfId="6" applyFont="1" applyFill="1" applyBorder="1" applyAlignment="1">
      <alignment horizontal="center" vertical="center" wrapText="1"/>
    </xf>
    <xf numFmtId="0" fontId="24" fillId="3" borderId="5" xfId="6" applyFont="1" applyFill="1" applyBorder="1" applyAlignment="1">
      <alignment horizontal="center" vertical="center" wrapText="1"/>
    </xf>
    <xf numFmtId="165" fontId="24" fillId="3" borderId="6" xfId="28" applyFont="1" applyFill="1" applyBorder="1" applyAlignment="1">
      <alignment horizontal="center" vertical="center" wrapText="1"/>
    </xf>
    <xf numFmtId="165" fontId="24" fillId="3" borderId="5" xfId="28" applyFont="1" applyFill="1" applyBorder="1" applyAlignment="1">
      <alignment horizontal="center" vertical="center" wrapText="1"/>
    </xf>
    <xf numFmtId="165" fontId="24" fillId="3" borderId="2" xfId="14" applyFont="1" applyFill="1" applyBorder="1" applyAlignment="1">
      <alignment horizontal="center" vertical="center" wrapText="1"/>
    </xf>
    <xf numFmtId="165" fontId="24" fillId="3" borderId="3" xfId="14" applyFont="1" applyFill="1" applyBorder="1" applyAlignment="1">
      <alignment horizontal="center" vertical="center" wrapText="1"/>
    </xf>
    <xf numFmtId="0" fontId="25" fillId="3" borderId="6" xfId="6" applyFont="1" applyFill="1" applyBorder="1" applyAlignment="1">
      <alignment horizontal="center" vertical="center" wrapText="1"/>
    </xf>
    <xf numFmtId="0" fontId="25" fillId="3" borderId="5" xfId="6" applyFont="1" applyFill="1" applyBorder="1" applyAlignment="1">
      <alignment horizontal="center" vertical="center" wrapText="1"/>
    </xf>
    <xf numFmtId="165" fontId="25" fillId="3" borderId="6" xfId="28" applyFont="1" applyFill="1" applyBorder="1" applyAlignment="1">
      <alignment horizontal="center" vertical="center" wrapText="1"/>
    </xf>
    <xf numFmtId="165" fontId="25" fillId="3" borderId="5" xfId="28" applyFont="1" applyFill="1" applyBorder="1" applyAlignment="1">
      <alignment horizontal="center" vertical="center" wrapText="1"/>
    </xf>
    <xf numFmtId="165" fontId="25" fillId="3" borderId="2" xfId="14" applyFont="1" applyFill="1" applyBorder="1" applyAlignment="1">
      <alignment horizontal="center" vertical="center" wrapText="1"/>
    </xf>
    <xf numFmtId="165" fontId="25" fillId="3" borderId="3" xfId="14" applyFont="1" applyFill="1" applyBorder="1" applyAlignment="1">
      <alignment horizontal="center" vertical="center" wrapText="1"/>
    </xf>
    <xf numFmtId="0" fontId="24" fillId="3" borderId="14" xfId="0" applyFont="1" applyFill="1" applyBorder="1" applyAlignment="1">
      <alignment horizontal="center" vertical="center" wrapText="1"/>
    </xf>
    <xf numFmtId="0" fontId="24" fillId="3" borderId="15" xfId="0" applyFont="1" applyFill="1" applyBorder="1" applyAlignment="1">
      <alignment horizontal="center" vertical="center" wrapText="1"/>
    </xf>
    <xf numFmtId="0" fontId="24" fillId="3" borderId="16" xfId="0" applyFont="1" applyFill="1" applyBorder="1" applyAlignment="1">
      <alignment horizontal="center" vertical="center" wrapText="1"/>
    </xf>
    <xf numFmtId="0" fontId="25" fillId="3" borderId="7" xfId="6" applyFont="1" applyFill="1" applyBorder="1" applyAlignment="1">
      <alignment horizontal="center" vertical="center" wrapText="1"/>
    </xf>
    <xf numFmtId="165" fontId="25" fillId="3" borderId="7" xfId="28" applyFont="1" applyFill="1" applyBorder="1" applyAlignment="1">
      <alignment horizontal="center" vertical="center" wrapText="1"/>
    </xf>
    <xf numFmtId="0" fontId="24" fillId="3" borderId="14" xfId="0" applyFont="1" applyFill="1" applyBorder="1" applyAlignment="1">
      <alignment horizontal="center" vertical="top" wrapText="1"/>
    </xf>
    <xf numFmtId="0" fontId="24" fillId="3" borderId="15" xfId="0" applyFont="1" applyFill="1" applyBorder="1" applyAlignment="1">
      <alignment horizontal="center" vertical="top" wrapText="1"/>
    </xf>
    <xf numFmtId="0" fontId="24" fillId="3" borderId="16" xfId="0" applyFont="1" applyFill="1" applyBorder="1" applyAlignment="1">
      <alignment horizontal="center" vertical="top" wrapText="1"/>
    </xf>
    <xf numFmtId="0" fontId="25" fillId="3" borderId="6" xfId="6" applyFont="1" applyFill="1" applyBorder="1" applyAlignment="1">
      <alignment horizontal="center" vertical="top" wrapText="1"/>
    </xf>
    <xf numFmtId="0" fontId="25" fillId="3" borderId="7" xfId="6" applyFont="1" applyFill="1" applyBorder="1" applyAlignment="1">
      <alignment horizontal="center" vertical="top" wrapText="1"/>
    </xf>
    <xf numFmtId="165" fontId="25" fillId="3" borderId="6" xfId="28" applyFont="1" applyFill="1" applyBorder="1" applyAlignment="1">
      <alignment horizontal="center" vertical="top" wrapText="1"/>
    </xf>
    <xf numFmtId="165" fontId="25" fillId="3" borderId="7" xfId="28" applyFont="1" applyFill="1" applyBorder="1" applyAlignment="1">
      <alignment horizontal="center" vertical="top" wrapText="1"/>
    </xf>
    <xf numFmtId="165" fontId="25" fillId="3" borderId="2" xfId="14" applyFont="1" applyFill="1" applyBorder="1" applyAlignment="1">
      <alignment horizontal="center" vertical="top" wrapText="1"/>
    </xf>
    <xf numFmtId="165" fontId="25" fillId="3" borderId="3" xfId="14" applyFont="1" applyFill="1" applyBorder="1" applyAlignment="1">
      <alignment horizontal="center" vertical="top" wrapText="1"/>
    </xf>
    <xf numFmtId="0" fontId="30" fillId="0" borderId="2" xfId="31" applyFont="1" applyBorder="1" applyAlignment="1">
      <alignment horizontal="center" vertical="center" wrapText="1"/>
    </xf>
    <xf numFmtId="0" fontId="16" fillId="0" borderId="4" xfId="31" applyBorder="1"/>
    <xf numFmtId="0" fontId="43" fillId="0" borderId="3" xfId="31" applyFont="1" applyBorder="1"/>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1" xfId="0" applyFont="1" applyBorder="1" applyAlignment="1">
      <alignment horizontal="center" vertical="center"/>
    </xf>
    <xf numFmtId="9" fontId="2" fillId="2" borderId="1" xfId="3" applyNumberFormat="1" applyFont="1" applyFill="1" applyBorder="1" applyAlignment="1">
      <alignment horizontal="center" vertical="center" wrapText="1"/>
    </xf>
    <xf numFmtId="165" fontId="11" fillId="2" borderId="1" xfId="14" applyFont="1" applyFill="1" applyBorder="1" applyAlignment="1">
      <alignment horizontal="center" vertical="center" wrapText="1"/>
    </xf>
    <xf numFmtId="176" fontId="11" fillId="2" borderId="1" xfId="14" applyNumberFormat="1" applyFont="1" applyFill="1" applyBorder="1" applyAlignment="1">
      <alignment horizontal="center" vertical="center" wrapText="1"/>
    </xf>
    <xf numFmtId="165" fontId="14" fillId="2" borderId="1" xfId="14" applyFont="1" applyFill="1" applyBorder="1" applyAlignment="1">
      <alignment vertical="center"/>
    </xf>
    <xf numFmtId="0" fontId="14" fillId="2" borderId="1" xfId="3" applyFont="1" applyFill="1" applyBorder="1" applyAlignment="1">
      <alignment vertical="center"/>
    </xf>
    <xf numFmtId="0" fontId="14" fillId="2" borderId="0" xfId="3" applyFont="1" applyFill="1" applyAlignment="1">
      <alignment vertical="center"/>
    </xf>
    <xf numFmtId="0" fontId="15" fillId="2" borderId="0" xfId="3" applyFont="1" applyFill="1" applyAlignment="1">
      <alignment horizontal="center" vertical="center" wrapText="1"/>
    </xf>
    <xf numFmtId="0" fontId="15" fillId="2" borderId="13" xfId="3" applyFont="1" applyFill="1" applyBorder="1" applyAlignment="1">
      <alignment horizontal="center" vertical="center" wrapText="1"/>
    </xf>
    <xf numFmtId="0" fontId="15" fillId="2" borderId="0" xfId="3" applyFont="1" applyFill="1" applyAlignment="1">
      <alignment vertical="center"/>
    </xf>
  </cellXfs>
  <cellStyles count="40">
    <cellStyle name="0,0_x000d_&#10;NA_x000d_&#10;" xfId="16"/>
    <cellStyle name="Comma" xfId="14" builtinId="3"/>
    <cellStyle name="Comma 10 2" xfId="17"/>
    <cellStyle name="Comma 10 2 2" xfId="26"/>
    <cellStyle name="Comma 100" xfId="2"/>
    <cellStyle name="Comma 100 2" xfId="21"/>
    <cellStyle name="Comma 11 2" xfId="10"/>
    <cellStyle name="Comma 11 2 2" xfId="23"/>
    <cellStyle name="Comma 16" xfId="35"/>
    <cellStyle name="Comma 2" xfId="4"/>
    <cellStyle name="Comma 2 12" xfId="36"/>
    <cellStyle name="Comma 2 2" xfId="12"/>
    <cellStyle name="Comma 2 2 2" xfId="24"/>
    <cellStyle name="Comma 2 3" xfId="22"/>
    <cellStyle name="Comma 3" xfId="25"/>
    <cellStyle name="Comma 3 2" xfId="28"/>
    <cellStyle name="Normal" xfId="0" builtinId="0"/>
    <cellStyle name="Normal 10" xfId="13"/>
    <cellStyle name="Normal 10 2" xfId="7"/>
    <cellStyle name="Normal 13 2" xfId="18"/>
    <cellStyle name="Normal 14 3" xfId="19"/>
    <cellStyle name="Normal 15" xfId="15"/>
    <cellStyle name="Normal 16 3" xfId="32"/>
    <cellStyle name="Normal 2" xfId="3"/>
    <cellStyle name="Normal 2 2" xfId="31"/>
    <cellStyle name="Normal 2 3" xfId="34"/>
    <cellStyle name="Normal 21" xfId="1"/>
    <cellStyle name="Normal 22" xfId="37"/>
    <cellStyle name="Normal 3" xfId="9"/>
    <cellStyle name="Normal 3 2" xfId="29"/>
    <cellStyle name="Normal 4" xfId="5"/>
    <cellStyle name="Normal 4 2 2" xfId="30"/>
    <cellStyle name="Normal 5" xfId="27"/>
    <cellStyle name="Normal 6" xfId="20"/>
    <cellStyle name="Normal 6 2" xfId="33"/>
    <cellStyle name="Normal_DATA7" xfId="8"/>
    <cellStyle name="Normal_DATA7 2" xfId="38"/>
    <cellStyle name="Percent" xfId="39" builtinId="5"/>
    <cellStyle name="Percent 16" xfId="11"/>
    <cellStyle name="Style 1"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9.xml"/><Relationship Id="rId117" Type="http://schemas.openxmlformats.org/officeDocument/2006/relationships/externalLink" Target="externalLinks/externalLink100.xml"/><Relationship Id="rId21" Type="http://schemas.openxmlformats.org/officeDocument/2006/relationships/externalLink" Target="externalLinks/externalLink4.xml"/><Relationship Id="rId42" Type="http://schemas.openxmlformats.org/officeDocument/2006/relationships/externalLink" Target="externalLinks/externalLink25.xml"/><Relationship Id="rId47" Type="http://schemas.openxmlformats.org/officeDocument/2006/relationships/externalLink" Target="externalLinks/externalLink30.xml"/><Relationship Id="rId63" Type="http://schemas.openxmlformats.org/officeDocument/2006/relationships/externalLink" Target="externalLinks/externalLink46.xml"/><Relationship Id="rId68" Type="http://schemas.openxmlformats.org/officeDocument/2006/relationships/externalLink" Target="externalLinks/externalLink51.xml"/><Relationship Id="rId84" Type="http://schemas.openxmlformats.org/officeDocument/2006/relationships/externalLink" Target="externalLinks/externalLink67.xml"/><Relationship Id="rId89" Type="http://schemas.openxmlformats.org/officeDocument/2006/relationships/externalLink" Target="externalLinks/externalLink72.xml"/><Relationship Id="rId112" Type="http://schemas.openxmlformats.org/officeDocument/2006/relationships/externalLink" Target="externalLinks/externalLink95.xml"/><Relationship Id="rId16" Type="http://schemas.openxmlformats.org/officeDocument/2006/relationships/worksheet" Target="worksheets/sheet16.xml"/><Relationship Id="rId107" Type="http://schemas.openxmlformats.org/officeDocument/2006/relationships/externalLink" Target="externalLinks/externalLink90.xml"/><Relationship Id="rId11" Type="http://schemas.openxmlformats.org/officeDocument/2006/relationships/worksheet" Target="worksheets/sheet11.xml"/><Relationship Id="rId32" Type="http://schemas.openxmlformats.org/officeDocument/2006/relationships/externalLink" Target="externalLinks/externalLink15.xml"/><Relationship Id="rId37" Type="http://schemas.openxmlformats.org/officeDocument/2006/relationships/externalLink" Target="externalLinks/externalLink20.xml"/><Relationship Id="rId53" Type="http://schemas.openxmlformats.org/officeDocument/2006/relationships/externalLink" Target="externalLinks/externalLink36.xml"/><Relationship Id="rId58" Type="http://schemas.openxmlformats.org/officeDocument/2006/relationships/externalLink" Target="externalLinks/externalLink41.xml"/><Relationship Id="rId74" Type="http://schemas.openxmlformats.org/officeDocument/2006/relationships/externalLink" Target="externalLinks/externalLink57.xml"/><Relationship Id="rId79" Type="http://schemas.openxmlformats.org/officeDocument/2006/relationships/externalLink" Target="externalLinks/externalLink62.xml"/><Relationship Id="rId102" Type="http://schemas.openxmlformats.org/officeDocument/2006/relationships/externalLink" Target="externalLinks/externalLink85.xml"/><Relationship Id="rId123" Type="http://schemas.openxmlformats.org/officeDocument/2006/relationships/externalLink" Target="externalLinks/externalLink106.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externalLink" Target="externalLinks/externalLink73.xml"/><Relationship Id="rId95" Type="http://schemas.openxmlformats.org/officeDocument/2006/relationships/externalLink" Target="externalLinks/externalLink78.xml"/><Relationship Id="rId19" Type="http://schemas.openxmlformats.org/officeDocument/2006/relationships/externalLink" Target="externalLinks/externalLink2.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externalLink" Target="externalLinks/externalLink26.xml"/><Relationship Id="rId48" Type="http://schemas.openxmlformats.org/officeDocument/2006/relationships/externalLink" Target="externalLinks/externalLink31.xml"/><Relationship Id="rId56" Type="http://schemas.openxmlformats.org/officeDocument/2006/relationships/externalLink" Target="externalLinks/externalLink39.xml"/><Relationship Id="rId64" Type="http://schemas.openxmlformats.org/officeDocument/2006/relationships/externalLink" Target="externalLinks/externalLink47.xml"/><Relationship Id="rId69" Type="http://schemas.openxmlformats.org/officeDocument/2006/relationships/externalLink" Target="externalLinks/externalLink52.xml"/><Relationship Id="rId77" Type="http://schemas.openxmlformats.org/officeDocument/2006/relationships/externalLink" Target="externalLinks/externalLink60.xml"/><Relationship Id="rId100" Type="http://schemas.openxmlformats.org/officeDocument/2006/relationships/externalLink" Target="externalLinks/externalLink83.xml"/><Relationship Id="rId105" Type="http://schemas.openxmlformats.org/officeDocument/2006/relationships/externalLink" Target="externalLinks/externalLink88.xml"/><Relationship Id="rId113" Type="http://schemas.openxmlformats.org/officeDocument/2006/relationships/externalLink" Target="externalLinks/externalLink96.xml"/><Relationship Id="rId118" Type="http://schemas.openxmlformats.org/officeDocument/2006/relationships/externalLink" Target="externalLinks/externalLink101.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4.xml"/><Relationship Id="rId72" Type="http://schemas.openxmlformats.org/officeDocument/2006/relationships/externalLink" Target="externalLinks/externalLink55.xml"/><Relationship Id="rId80" Type="http://schemas.openxmlformats.org/officeDocument/2006/relationships/externalLink" Target="externalLinks/externalLink63.xml"/><Relationship Id="rId85" Type="http://schemas.openxmlformats.org/officeDocument/2006/relationships/externalLink" Target="externalLinks/externalLink68.xml"/><Relationship Id="rId93" Type="http://schemas.openxmlformats.org/officeDocument/2006/relationships/externalLink" Target="externalLinks/externalLink76.xml"/><Relationship Id="rId98" Type="http://schemas.openxmlformats.org/officeDocument/2006/relationships/externalLink" Target="externalLinks/externalLink81.xml"/><Relationship Id="rId121" Type="http://schemas.openxmlformats.org/officeDocument/2006/relationships/externalLink" Target="externalLinks/externalLink10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externalLink" Target="externalLinks/externalLink21.xml"/><Relationship Id="rId46" Type="http://schemas.openxmlformats.org/officeDocument/2006/relationships/externalLink" Target="externalLinks/externalLink29.xml"/><Relationship Id="rId59" Type="http://schemas.openxmlformats.org/officeDocument/2006/relationships/externalLink" Target="externalLinks/externalLink42.xml"/><Relationship Id="rId67" Type="http://schemas.openxmlformats.org/officeDocument/2006/relationships/externalLink" Target="externalLinks/externalLink50.xml"/><Relationship Id="rId103" Type="http://schemas.openxmlformats.org/officeDocument/2006/relationships/externalLink" Target="externalLinks/externalLink86.xml"/><Relationship Id="rId108" Type="http://schemas.openxmlformats.org/officeDocument/2006/relationships/externalLink" Target="externalLinks/externalLink91.xml"/><Relationship Id="rId116" Type="http://schemas.openxmlformats.org/officeDocument/2006/relationships/externalLink" Target="externalLinks/externalLink99.xml"/><Relationship Id="rId124" Type="http://schemas.openxmlformats.org/officeDocument/2006/relationships/externalLink" Target="externalLinks/externalLink107.xml"/><Relationship Id="rId20" Type="http://schemas.openxmlformats.org/officeDocument/2006/relationships/externalLink" Target="externalLinks/externalLink3.xml"/><Relationship Id="rId41" Type="http://schemas.openxmlformats.org/officeDocument/2006/relationships/externalLink" Target="externalLinks/externalLink24.xml"/><Relationship Id="rId54" Type="http://schemas.openxmlformats.org/officeDocument/2006/relationships/externalLink" Target="externalLinks/externalLink37.xml"/><Relationship Id="rId62" Type="http://schemas.openxmlformats.org/officeDocument/2006/relationships/externalLink" Target="externalLinks/externalLink45.xml"/><Relationship Id="rId70" Type="http://schemas.openxmlformats.org/officeDocument/2006/relationships/externalLink" Target="externalLinks/externalLink53.xml"/><Relationship Id="rId75" Type="http://schemas.openxmlformats.org/officeDocument/2006/relationships/externalLink" Target="externalLinks/externalLink58.xml"/><Relationship Id="rId83" Type="http://schemas.openxmlformats.org/officeDocument/2006/relationships/externalLink" Target="externalLinks/externalLink66.xml"/><Relationship Id="rId88" Type="http://schemas.openxmlformats.org/officeDocument/2006/relationships/externalLink" Target="externalLinks/externalLink71.xml"/><Relationship Id="rId91" Type="http://schemas.openxmlformats.org/officeDocument/2006/relationships/externalLink" Target="externalLinks/externalLink74.xml"/><Relationship Id="rId96" Type="http://schemas.openxmlformats.org/officeDocument/2006/relationships/externalLink" Target="externalLinks/externalLink79.xml"/><Relationship Id="rId111" Type="http://schemas.openxmlformats.org/officeDocument/2006/relationships/externalLink" Target="externalLinks/externalLink9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49" Type="http://schemas.openxmlformats.org/officeDocument/2006/relationships/externalLink" Target="externalLinks/externalLink32.xml"/><Relationship Id="rId57" Type="http://schemas.openxmlformats.org/officeDocument/2006/relationships/externalLink" Target="externalLinks/externalLink40.xml"/><Relationship Id="rId106" Type="http://schemas.openxmlformats.org/officeDocument/2006/relationships/externalLink" Target="externalLinks/externalLink89.xml"/><Relationship Id="rId114" Type="http://schemas.openxmlformats.org/officeDocument/2006/relationships/externalLink" Target="externalLinks/externalLink97.xml"/><Relationship Id="rId119" Type="http://schemas.openxmlformats.org/officeDocument/2006/relationships/externalLink" Target="externalLinks/externalLink102.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externalLink" Target="externalLinks/externalLink14.xml"/><Relationship Id="rId44" Type="http://schemas.openxmlformats.org/officeDocument/2006/relationships/externalLink" Target="externalLinks/externalLink27.xml"/><Relationship Id="rId52" Type="http://schemas.openxmlformats.org/officeDocument/2006/relationships/externalLink" Target="externalLinks/externalLink35.xml"/><Relationship Id="rId60" Type="http://schemas.openxmlformats.org/officeDocument/2006/relationships/externalLink" Target="externalLinks/externalLink43.xml"/><Relationship Id="rId65" Type="http://schemas.openxmlformats.org/officeDocument/2006/relationships/externalLink" Target="externalLinks/externalLink48.xml"/><Relationship Id="rId73" Type="http://schemas.openxmlformats.org/officeDocument/2006/relationships/externalLink" Target="externalLinks/externalLink56.xml"/><Relationship Id="rId78" Type="http://schemas.openxmlformats.org/officeDocument/2006/relationships/externalLink" Target="externalLinks/externalLink61.xml"/><Relationship Id="rId81" Type="http://schemas.openxmlformats.org/officeDocument/2006/relationships/externalLink" Target="externalLinks/externalLink64.xml"/><Relationship Id="rId86" Type="http://schemas.openxmlformats.org/officeDocument/2006/relationships/externalLink" Target="externalLinks/externalLink69.xml"/><Relationship Id="rId94" Type="http://schemas.openxmlformats.org/officeDocument/2006/relationships/externalLink" Target="externalLinks/externalLink77.xml"/><Relationship Id="rId99" Type="http://schemas.openxmlformats.org/officeDocument/2006/relationships/externalLink" Target="externalLinks/externalLink82.xml"/><Relationship Id="rId101" Type="http://schemas.openxmlformats.org/officeDocument/2006/relationships/externalLink" Target="externalLinks/externalLink84.xml"/><Relationship Id="rId122" Type="http://schemas.openxmlformats.org/officeDocument/2006/relationships/externalLink" Target="externalLinks/externalLink10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1.xml"/><Relationship Id="rId39" Type="http://schemas.openxmlformats.org/officeDocument/2006/relationships/externalLink" Target="externalLinks/externalLink22.xml"/><Relationship Id="rId109" Type="http://schemas.openxmlformats.org/officeDocument/2006/relationships/externalLink" Target="externalLinks/externalLink92.xml"/><Relationship Id="rId34" Type="http://schemas.openxmlformats.org/officeDocument/2006/relationships/externalLink" Target="externalLinks/externalLink17.xml"/><Relationship Id="rId50" Type="http://schemas.openxmlformats.org/officeDocument/2006/relationships/externalLink" Target="externalLinks/externalLink33.xml"/><Relationship Id="rId55" Type="http://schemas.openxmlformats.org/officeDocument/2006/relationships/externalLink" Target="externalLinks/externalLink38.xml"/><Relationship Id="rId76" Type="http://schemas.openxmlformats.org/officeDocument/2006/relationships/externalLink" Target="externalLinks/externalLink59.xml"/><Relationship Id="rId97" Type="http://schemas.openxmlformats.org/officeDocument/2006/relationships/externalLink" Target="externalLinks/externalLink80.xml"/><Relationship Id="rId104" Type="http://schemas.openxmlformats.org/officeDocument/2006/relationships/externalLink" Target="externalLinks/externalLink87.xml"/><Relationship Id="rId120" Type="http://schemas.openxmlformats.org/officeDocument/2006/relationships/externalLink" Target="externalLinks/externalLink103.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externalLink" Target="externalLinks/externalLink54.xml"/><Relationship Id="rId92" Type="http://schemas.openxmlformats.org/officeDocument/2006/relationships/externalLink" Target="externalLinks/externalLink75.xml"/><Relationship Id="rId2" Type="http://schemas.openxmlformats.org/officeDocument/2006/relationships/worksheet" Target="worksheets/sheet2.xml"/><Relationship Id="rId29" Type="http://schemas.openxmlformats.org/officeDocument/2006/relationships/externalLink" Target="externalLinks/externalLink12.xml"/><Relationship Id="rId24" Type="http://schemas.openxmlformats.org/officeDocument/2006/relationships/externalLink" Target="externalLinks/externalLink7.xml"/><Relationship Id="rId40" Type="http://schemas.openxmlformats.org/officeDocument/2006/relationships/externalLink" Target="externalLinks/externalLink23.xml"/><Relationship Id="rId45" Type="http://schemas.openxmlformats.org/officeDocument/2006/relationships/externalLink" Target="externalLinks/externalLink28.xml"/><Relationship Id="rId66" Type="http://schemas.openxmlformats.org/officeDocument/2006/relationships/externalLink" Target="externalLinks/externalLink49.xml"/><Relationship Id="rId87" Type="http://schemas.openxmlformats.org/officeDocument/2006/relationships/externalLink" Target="externalLinks/externalLink70.xml"/><Relationship Id="rId110" Type="http://schemas.openxmlformats.org/officeDocument/2006/relationships/externalLink" Target="externalLinks/externalLink93.xml"/><Relationship Id="rId115" Type="http://schemas.openxmlformats.org/officeDocument/2006/relationships/externalLink" Target="externalLinks/externalLink98.xml"/><Relationship Id="rId61" Type="http://schemas.openxmlformats.org/officeDocument/2006/relationships/externalLink" Target="externalLinks/externalLink44.xml"/><Relationship Id="rId82" Type="http://schemas.openxmlformats.org/officeDocument/2006/relationships/externalLink" Target="externalLinks/externalLink65.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1.png"/><Relationship Id="rId1" Type="http://schemas.openxmlformats.org/officeDocument/2006/relationships/image" Target="../media/image6.jpeg"/><Relationship Id="rId5" Type="http://schemas.openxmlformats.org/officeDocument/2006/relationships/image" Target="../media/image3.jpe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4</xdr:col>
      <xdr:colOff>0</xdr:colOff>
      <xdr:row>276</xdr:row>
      <xdr:rowOff>0</xdr:rowOff>
    </xdr:from>
    <xdr:ext cx="76200" cy="223157"/>
    <xdr:sp macro="" textlink="">
      <xdr:nvSpPr>
        <xdr:cNvPr id="2" name="Text Box 43">
          <a:extLst>
            <a:ext uri="{FF2B5EF4-FFF2-40B4-BE49-F238E27FC236}">
              <a16:creationId xmlns="" xmlns:a16="http://schemas.microsoft.com/office/drawing/2014/main" id="{9B73DE55-E2BA-41CD-A27D-D235D24C4277}"/>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3" name="Text Box 45">
          <a:extLst>
            <a:ext uri="{FF2B5EF4-FFF2-40B4-BE49-F238E27FC236}">
              <a16:creationId xmlns="" xmlns:a16="http://schemas.microsoft.com/office/drawing/2014/main" id="{40530BCA-ABA0-48E8-A40A-085DDACAC1A0}"/>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4" name="Text Box 47">
          <a:extLst>
            <a:ext uri="{FF2B5EF4-FFF2-40B4-BE49-F238E27FC236}">
              <a16:creationId xmlns="" xmlns:a16="http://schemas.microsoft.com/office/drawing/2014/main" id="{FE7F807C-8B07-4CB3-8425-289037844571}"/>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5" name="Text Box 48">
          <a:extLst>
            <a:ext uri="{FF2B5EF4-FFF2-40B4-BE49-F238E27FC236}">
              <a16:creationId xmlns="" xmlns:a16="http://schemas.microsoft.com/office/drawing/2014/main" id="{9E10CB39-94E4-456A-989F-366D6E13392F}"/>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 name="Text Box 49">
          <a:extLst>
            <a:ext uri="{FF2B5EF4-FFF2-40B4-BE49-F238E27FC236}">
              <a16:creationId xmlns="" xmlns:a16="http://schemas.microsoft.com/office/drawing/2014/main" id="{A762DD84-B11B-457A-B553-B0F2551C19BE}"/>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 name="Text Box 50">
          <a:extLst>
            <a:ext uri="{FF2B5EF4-FFF2-40B4-BE49-F238E27FC236}">
              <a16:creationId xmlns="" xmlns:a16="http://schemas.microsoft.com/office/drawing/2014/main" id="{5DA6529C-5394-4326-BFCF-D1CF05619632}"/>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 name="Text Box 64">
          <a:extLst>
            <a:ext uri="{FF2B5EF4-FFF2-40B4-BE49-F238E27FC236}">
              <a16:creationId xmlns="" xmlns:a16="http://schemas.microsoft.com/office/drawing/2014/main" id="{87E0F804-37A3-481C-A703-D9787F21C2EE}"/>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9" name="Text Box 65">
          <a:extLst>
            <a:ext uri="{FF2B5EF4-FFF2-40B4-BE49-F238E27FC236}">
              <a16:creationId xmlns="" xmlns:a16="http://schemas.microsoft.com/office/drawing/2014/main" id="{F3090783-1E17-43CF-BF80-957C6A643A26}"/>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0" name="Text Box 66">
          <a:extLst>
            <a:ext uri="{FF2B5EF4-FFF2-40B4-BE49-F238E27FC236}">
              <a16:creationId xmlns="" xmlns:a16="http://schemas.microsoft.com/office/drawing/2014/main" id="{42F681E2-B51D-41D0-A4AF-F36C5E72EC9C}"/>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1" name="Text Box 67">
          <a:extLst>
            <a:ext uri="{FF2B5EF4-FFF2-40B4-BE49-F238E27FC236}">
              <a16:creationId xmlns="" xmlns:a16="http://schemas.microsoft.com/office/drawing/2014/main" id="{9F35FAD5-DBA0-4FF9-B206-F7D9BA588959}"/>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2" name="Text Box 68">
          <a:extLst>
            <a:ext uri="{FF2B5EF4-FFF2-40B4-BE49-F238E27FC236}">
              <a16:creationId xmlns="" xmlns:a16="http://schemas.microsoft.com/office/drawing/2014/main" id="{C53D9CA3-6F67-4096-AAE9-B904759EF9B9}"/>
            </a:ext>
          </a:extLst>
        </xdr:cNvPr>
        <xdr:cNvSpPr txBox="1">
          <a:spLocks noChangeArrowheads="1"/>
        </xdr:cNvSpPr>
      </xdr:nvSpPr>
      <xdr:spPr bwMode="auto">
        <a:xfrm>
          <a:off x="1797367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3" name="Text Box 69">
          <a:extLst>
            <a:ext uri="{FF2B5EF4-FFF2-40B4-BE49-F238E27FC236}">
              <a16:creationId xmlns="" xmlns:a16="http://schemas.microsoft.com/office/drawing/2014/main" id="{79A5287B-836C-4137-BA35-0713DCB83D5E}"/>
            </a:ext>
          </a:extLst>
        </xdr:cNvPr>
        <xdr:cNvSpPr txBox="1">
          <a:spLocks noChangeArrowheads="1"/>
        </xdr:cNvSpPr>
      </xdr:nvSpPr>
      <xdr:spPr bwMode="auto">
        <a:xfrm>
          <a:off x="1797367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 name="Text Box 70">
          <a:extLst>
            <a:ext uri="{FF2B5EF4-FFF2-40B4-BE49-F238E27FC236}">
              <a16:creationId xmlns="" xmlns:a16="http://schemas.microsoft.com/office/drawing/2014/main" id="{C13E12F5-E903-43D9-81BF-913B3F31FD6A}"/>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5" name="Text Box 71">
          <a:extLst>
            <a:ext uri="{FF2B5EF4-FFF2-40B4-BE49-F238E27FC236}">
              <a16:creationId xmlns="" xmlns:a16="http://schemas.microsoft.com/office/drawing/2014/main" id="{137ADB9B-B023-4C61-8E71-BABEC48815A7}"/>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 name="Text Box 72">
          <a:extLst>
            <a:ext uri="{FF2B5EF4-FFF2-40B4-BE49-F238E27FC236}">
              <a16:creationId xmlns="" xmlns:a16="http://schemas.microsoft.com/office/drawing/2014/main" id="{1535351E-DCAA-47CA-8C41-A6D0469CFAFB}"/>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 name="Text Box 73">
          <a:extLst>
            <a:ext uri="{FF2B5EF4-FFF2-40B4-BE49-F238E27FC236}">
              <a16:creationId xmlns="" xmlns:a16="http://schemas.microsoft.com/office/drawing/2014/main" id="{796986F6-6801-407A-8C9B-9269E0C00057}"/>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42207"/>
    <xdr:sp macro="" textlink="">
      <xdr:nvSpPr>
        <xdr:cNvPr id="18" name="Text Box 19">
          <a:extLst>
            <a:ext uri="{FF2B5EF4-FFF2-40B4-BE49-F238E27FC236}">
              <a16:creationId xmlns="" xmlns:a16="http://schemas.microsoft.com/office/drawing/2014/main" id="{C315A81A-81A3-47A4-902C-937311A3EF17}"/>
            </a:ext>
          </a:extLst>
        </xdr:cNvPr>
        <xdr:cNvSpPr txBox="1">
          <a:spLocks noChangeArrowheads="1"/>
        </xdr:cNvSpPr>
      </xdr:nvSpPr>
      <xdr:spPr bwMode="auto">
        <a:xfrm>
          <a:off x="16916400"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42207"/>
    <xdr:sp macro="" textlink="">
      <xdr:nvSpPr>
        <xdr:cNvPr id="19" name="Text Box 20">
          <a:extLst>
            <a:ext uri="{FF2B5EF4-FFF2-40B4-BE49-F238E27FC236}">
              <a16:creationId xmlns="" xmlns:a16="http://schemas.microsoft.com/office/drawing/2014/main" id="{D7C16403-A03A-4B8E-BA16-DEC5E6B09B0A}"/>
            </a:ext>
          </a:extLst>
        </xdr:cNvPr>
        <xdr:cNvSpPr txBox="1">
          <a:spLocks noChangeArrowheads="1"/>
        </xdr:cNvSpPr>
      </xdr:nvSpPr>
      <xdr:spPr bwMode="auto">
        <a:xfrm>
          <a:off x="16916400"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20" name="Text Box 21">
          <a:extLst>
            <a:ext uri="{FF2B5EF4-FFF2-40B4-BE49-F238E27FC236}">
              <a16:creationId xmlns="" xmlns:a16="http://schemas.microsoft.com/office/drawing/2014/main" id="{97316B60-CCBB-4A6A-9192-268589E4252B}"/>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21" name="Text Box 22">
          <a:extLst>
            <a:ext uri="{FF2B5EF4-FFF2-40B4-BE49-F238E27FC236}">
              <a16:creationId xmlns="" xmlns:a16="http://schemas.microsoft.com/office/drawing/2014/main" id="{238C7FEF-C019-4F73-886B-8D5F53B9217A}"/>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22" name="Text Box 23">
          <a:extLst>
            <a:ext uri="{FF2B5EF4-FFF2-40B4-BE49-F238E27FC236}">
              <a16:creationId xmlns="" xmlns:a16="http://schemas.microsoft.com/office/drawing/2014/main" id="{BFAFB2F6-1E47-4F18-9CD2-C736A9A73C33}"/>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23" name="Text Box 24">
          <a:extLst>
            <a:ext uri="{FF2B5EF4-FFF2-40B4-BE49-F238E27FC236}">
              <a16:creationId xmlns="" xmlns:a16="http://schemas.microsoft.com/office/drawing/2014/main" id="{59354404-9F1A-4EAE-A95D-EC3FCBB28B7B}"/>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24" name="Text Box 25">
          <a:extLst>
            <a:ext uri="{FF2B5EF4-FFF2-40B4-BE49-F238E27FC236}">
              <a16:creationId xmlns="" xmlns:a16="http://schemas.microsoft.com/office/drawing/2014/main" id="{D672128E-1EB1-448D-8128-44A9256A8203}"/>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25" name="Text Box 26">
          <a:extLst>
            <a:ext uri="{FF2B5EF4-FFF2-40B4-BE49-F238E27FC236}">
              <a16:creationId xmlns="" xmlns:a16="http://schemas.microsoft.com/office/drawing/2014/main" id="{706E90EC-1A81-4499-9447-EC615DF35D2C}"/>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26" name="Text Box 27">
          <a:extLst>
            <a:ext uri="{FF2B5EF4-FFF2-40B4-BE49-F238E27FC236}">
              <a16:creationId xmlns="" xmlns:a16="http://schemas.microsoft.com/office/drawing/2014/main" id="{B2AF7A92-9115-4CC2-8B55-D52AB35FFD2A}"/>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27" name="Text Box 28">
          <a:extLst>
            <a:ext uri="{FF2B5EF4-FFF2-40B4-BE49-F238E27FC236}">
              <a16:creationId xmlns="" xmlns:a16="http://schemas.microsoft.com/office/drawing/2014/main" id="{6E05DBD8-2E31-4E2E-987F-A7003BE832E3}"/>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28" name="Text Box 29">
          <a:extLst>
            <a:ext uri="{FF2B5EF4-FFF2-40B4-BE49-F238E27FC236}">
              <a16:creationId xmlns="" xmlns:a16="http://schemas.microsoft.com/office/drawing/2014/main" id="{A145B619-2B47-46E6-AA4F-0B521FB9FEBF}"/>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29" name="Text Box 30">
          <a:extLst>
            <a:ext uri="{FF2B5EF4-FFF2-40B4-BE49-F238E27FC236}">
              <a16:creationId xmlns="" xmlns:a16="http://schemas.microsoft.com/office/drawing/2014/main" id="{4A95FC2C-73C2-4EA9-85EA-E83212383E01}"/>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30" name="Text Box 31">
          <a:extLst>
            <a:ext uri="{FF2B5EF4-FFF2-40B4-BE49-F238E27FC236}">
              <a16:creationId xmlns="" xmlns:a16="http://schemas.microsoft.com/office/drawing/2014/main" id="{D4794234-2AD4-4ECD-BD3E-8D5573E45409}"/>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31" name="Text Box 32">
          <a:extLst>
            <a:ext uri="{FF2B5EF4-FFF2-40B4-BE49-F238E27FC236}">
              <a16:creationId xmlns="" xmlns:a16="http://schemas.microsoft.com/office/drawing/2014/main" id="{E956F019-6176-4951-ADFF-78926365712B}"/>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32" name="Text Box 33">
          <a:extLst>
            <a:ext uri="{FF2B5EF4-FFF2-40B4-BE49-F238E27FC236}">
              <a16:creationId xmlns="" xmlns:a16="http://schemas.microsoft.com/office/drawing/2014/main" id="{C1F72C97-4198-49D3-BFE2-AD6735F49965}"/>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33" name="Text Box 34">
          <a:extLst>
            <a:ext uri="{FF2B5EF4-FFF2-40B4-BE49-F238E27FC236}">
              <a16:creationId xmlns="" xmlns:a16="http://schemas.microsoft.com/office/drawing/2014/main" id="{B3825013-3EC5-4C1F-9076-BC759DA790B1}"/>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34" name="Text Box 35">
          <a:extLst>
            <a:ext uri="{FF2B5EF4-FFF2-40B4-BE49-F238E27FC236}">
              <a16:creationId xmlns="" xmlns:a16="http://schemas.microsoft.com/office/drawing/2014/main" id="{777D3CA8-6E14-433F-BD84-8DE669413282}"/>
            </a:ext>
          </a:extLst>
        </xdr:cNvPr>
        <xdr:cNvSpPr txBox="1">
          <a:spLocks noChangeArrowheads="1"/>
        </xdr:cNvSpPr>
      </xdr:nvSpPr>
      <xdr:spPr bwMode="auto">
        <a:xfrm>
          <a:off x="1691640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35" name="Text Box 36">
          <a:extLst>
            <a:ext uri="{FF2B5EF4-FFF2-40B4-BE49-F238E27FC236}">
              <a16:creationId xmlns="" xmlns:a16="http://schemas.microsoft.com/office/drawing/2014/main" id="{4BD27B71-9E26-4A5F-9B1F-B7E3BF1A0E51}"/>
            </a:ext>
          </a:extLst>
        </xdr:cNvPr>
        <xdr:cNvSpPr txBox="1">
          <a:spLocks noChangeArrowheads="1"/>
        </xdr:cNvSpPr>
      </xdr:nvSpPr>
      <xdr:spPr bwMode="auto">
        <a:xfrm>
          <a:off x="1691640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36" name="Text Box 37">
          <a:extLst>
            <a:ext uri="{FF2B5EF4-FFF2-40B4-BE49-F238E27FC236}">
              <a16:creationId xmlns="" xmlns:a16="http://schemas.microsoft.com/office/drawing/2014/main" id="{9413E2B8-D12D-4DCF-8A1C-F35ECF01EBCA}"/>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37" name="Text Box 38">
          <a:extLst>
            <a:ext uri="{FF2B5EF4-FFF2-40B4-BE49-F238E27FC236}">
              <a16:creationId xmlns="" xmlns:a16="http://schemas.microsoft.com/office/drawing/2014/main" id="{243FA6C3-8289-4785-B94B-D2DCE186D46D}"/>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38" name="Text Box 39">
          <a:extLst>
            <a:ext uri="{FF2B5EF4-FFF2-40B4-BE49-F238E27FC236}">
              <a16:creationId xmlns="" xmlns:a16="http://schemas.microsoft.com/office/drawing/2014/main" id="{A316EA02-C09D-400B-9302-4FC96A44B88B}"/>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39" name="Text Box 40">
          <a:extLst>
            <a:ext uri="{FF2B5EF4-FFF2-40B4-BE49-F238E27FC236}">
              <a16:creationId xmlns="" xmlns:a16="http://schemas.microsoft.com/office/drawing/2014/main" id="{37DE7C10-5796-4691-8511-6B9845BF412B}"/>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40" name="Text Box 41">
          <a:extLst>
            <a:ext uri="{FF2B5EF4-FFF2-40B4-BE49-F238E27FC236}">
              <a16:creationId xmlns="" xmlns:a16="http://schemas.microsoft.com/office/drawing/2014/main" id="{79D0F922-208D-42D7-9B42-72844D573A92}"/>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41" name="Text Box 42">
          <a:extLst>
            <a:ext uri="{FF2B5EF4-FFF2-40B4-BE49-F238E27FC236}">
              <a16:creationId xmlns="" xmlns:a16="http://schemas.microsoft.com/office/drawing/2014/main" id="{DAEF84BD-4989-4E5A-A076-8576DDEF63C7}"/>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42" name="Text Box 43">
          <a:extLst>
            <a:ext uri="{FF2B5EF4-FFF2-40B4-BE49-F238E27FC236}">
              <a16:creationId xmlns="" xmlns:a16="http://schemas.microsoft.com/office/drawing/2014/main" id="{CE0006F8-3D4B-486F-93DD-9F396AA55BE5}"/>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43" name="Text Box 44">
          <a:extLst>
            <a:ext uri="{FF2B5EF4-FFF2-40B4-BE49-F238E27FC236}">
              <a16:creationId xmlns="" xmlns:a16="http://schemas.microsoft.com/office/drawing/2014/main" id="{5B0768A0-77DB-4A9C-BC94-CB8D89F444D4}"/>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44" name="Text Box 45">
          <a:extLst>
            <a:ext uri="{FF2B5EF4-FFF2-40B4-BE49-F238E27FC236}">
              <a16:creationId xmlns="" xmlns:a16="http://schemas.microsoft.com/office/drawing/2014/main" id="{E4A43A4D-28F2-47FC-A123-B225C9832E9F}"/>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45" name="Text Box 46">
          <a:extLst>
            <a:ext uri="{FF2B5EF4-FFF2-40B4-BE49-F238E27FC236}">
              <a16:creationId xmlns="" xmlns:a16="http://schemas.microsoft.com/office/drawing/2014/main" id="{7461B264-3D74-4DB1-AF59-9123F1D2B964}"/>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46" name="Text Box 47">
          <a:extLst>
            <a:ext uri="{FF2B5EF4-FFF2-40B4-BE49-F238E27FC236}">
              <a16:creationId xmlns="" xmlns:a16="http://schemas.microsoft.com/office/drawing/2014/main" id="{6EE3460C-EDA0-4EF4-BBC5-CA55E2CDACC3}"/>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47" name="Text Box 48">
          <a:extLst>
            <a:ext uri="{FF2B5EF4-FFF2-40B4-BE49-F238E27FC236}">
              <a16:creationId xmlns="" xmlns:a16="http://schemas.microsoft.com/office/drawing/2014/main" id="{F3E91C72-1ECD-4AF1-B846-EA2A017A180E}"/>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48" name="Text Box 49">
          <a:extLst>
            <a:ext uri="{FF2B5EF4-FFF2-40B4-BE49-F238E27FC236}">
              <a16:creationId xmlns="" xmlns:a16="http://schemas.microsoft.com/office/drawing/2014/main" id="{28996A64-A74F-465B-964C-214A01C1AA3A}"/>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49" name="Text Box 50">
          <a:extLst>
            <a:ext uri="{FF2B5EF4-FFF2-40B4-BE49-F238E27FC236}">
              <a16:creationId xmlns="" xmlns:a16="http://schemas.microsoft.com/office/drawing/2014/main" id="{57A2C510-66B9-4A76-902A-199DEA18EAFD}"/>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50" name="Text Box 51">
          <a:extLst>
            <a:ext uri="{FF2B5EF4-FFF2-40B4-BE49-F238E27FC236}">
              <a16:creationId xmlns="" xmlns:a16="http://schemas.microsoft.com/office/drawing/2014/main" id="{1B2B24BB-0428-4915-A8C9-B50E5292EB01}"/>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51" name="Text Box 52">
          <a:extLst>
            <a:ext uri="{FF2B5EF4-FFF2-40B4-BE49-F238E27FC236}">
              <a16:creationId xmlns="" xmlns:a16="http://schemas.microsoft.com/office/drawing/2014/main" id="{9B248E8B-CDBD-4363-A4A5-39ADAE3E53AF}"/>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52" name="Text Box 53">
          <a:extLst>
            <a:ext uri="{FF2B5EF4-FFF2-40B4-BE49-F238E27FC236}">
              <a16:creationId xmlns="" xmlns:a16="http://schemas.microsoft.com/office/drawing/2014/main" id="{1F202F25-1EA2-435C-BA1B-FC2BEC31D1DE}"/>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53" name="Text Box 54">
          <a:extLst>
            <a:ext uri="{FF2B5EF4-FFF2-40B4-BE49-F238E27FC236}">
              <a16:creationId xmlns="" xmlns:a16="http://schemas.microsoft.com/office/drawing/2014/main" id="{6A374C16-FBB5-420E-A34D-3BC78637DAF5}"/>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54" name="Text Box 55">
          <a:extLst>
            <a:ext uri="{FF2B5EF4-FFF2-40B4-BE49-F238E27FC236}">
              <a16:creationId xmlns="" xmlns:a16="http://schemas.microsoft.com/office/drawing/2014/main" id="{5B65193F-0D87-4EA7-B7A6-A1511D1CBE2E}"/>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55" name="Text Box 56">
          <a:extLst>
            <a:ext uri="{FF2B5EF4-FFF2-40B4-BE49-F238E27FC236}">
              <a16:creationId xmlns="" xmlns:a16="http://schemas.microsoft.com/office/drawing/2014/main" id="{8C5342A3-E311-4519-B076-125F48A15949}"/>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56" name="Text Box 57">
          <a:extLst>
            <a:ext uri="{FF2B5EF4-FFF2-40B4-BE49-F238E27FC236}">
              <a16:creationId xmlns="" xmlns:a16="http://schemas.microsoft.com/office/drawing/2014/main" id="{4F7867C1-2AB3-436F-9A5D-C5FB68055AC3}"/>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57" name="Text Box 58">
          <a:extLst>
            <a:ext uri="{FF2B5EF4-FFF2-40B4-BE49-F238E27FC236}">
              <a16:creationId xmlns="" xmlns:a16="http://schemas.microsoft.com/office/drawing/2014/main" id="{936F129C-6FC6-4B6B-B2A6-EBE9087F8507}"/>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58" name="Text Box 59">
          <a:extLst>
            <a:ext uri="{FF2B5EF4-FFF2-40B4-BE49-F238E27FC236}">
              <a16:creationId xmlns="" xmlns:a16="http://schemas.microsoft.com/office/drawing/2014/main" id="{AA25A59E-4803-4D25-B1B0-89114569B123}"/>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59" name="Text Box 60">
          <a:extLst>
            <a:ext uri="{FF2B5EF4-FFF2-40B4-BE49-F238E27FC236}">
              <a16:creationId xmlns="" xmlns:a16="http://schemas.microsoft.com/office/drawing/2014/main" id="{F5ED2BA8-A2F8-4EAB-89CF-740848514401}"/>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0" name="Text Box 61">
          <a:extLst>
            <a:ext uri="{FF2B5EF4-FFF2-40B4-BE49-F238E27FC236}">
              <a16:creationId xmlns="" xmlns:a16="http://schemas.microsoft.com/office/drawing/2014/main" id="{3B0B67F2-B48B-4E5F-A754-711D0BE38A70}"/>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1" name="Text Box 62">
          <a:extLst>
            <a:ext uri="{FF2B5EF4-FFF2-40B4-BE49-F238E27FC236}">
              <a16:creationId xmlns="" xmlns:a16="http://schemas.microsoft.com/office/drawing/2014/main" id="{A46AB655-0B80-462D-902E-2C6F4734D9FE}"/>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2" name="Text Box 63">
          <a:extLst>
            <a:ext uri="{FF2B5EF4-FFF2-40B4-BE49-F238E27FC236}">
              <a16:creationId xmlns="" xmlns:a16="http://schemas.microsoft.com/office/drawing/2014/main" id="{6CAD224F-D489-476F-A532-6BCDD0514552}"/>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3" name="Text Box 64">
          <a:extLst>
            <a:ext uri="{FF2B5EF4-FFF2-40B4-BE49-F238E27FC236}">
              <a16:creationId xmlns="" xmlns:a16="http://schemas.microsoft.com/office/drawing/2014/main" id="{07566ED8-E8FF-4648-ACBB-86AED852EED5}"/>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64" name="Text Box 65">
          <a:extLst>
            <a:ext uri="{FF2B5EF4-FFF2-40B4-BE49-F238E27FC236}">
              <a16:creationId xmlns="" xmlns:a16="http://schemas.microsoft.com/office/drawing/2014/main" id="{04587B62-2997-4DB3-AF4F-7B4E5433D57F}"/>
            </a:ext>
          </a:extLst>
        </xdr:cNvPr>
        <xdr:cNvSpPr txBox="1">
          <a:spLocks noChangeArrowheads="1"/>
        </xdr:cNvSpPr>
      </xdr:nvSpPr>
      <xdr:spPr bwMode="auto">
        <a:xfrm>
          <a:off x="16916400"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65" name="Text Box 66">
          <a:extLst>
            <a:ext uri="{FF2B5EF4-FFF2-40B4-BE49-F238E27FC236}">
              <a16:creationId xmlns="" xmlns:a16="http://schemas.microsoft.com/office/drawing/2014/main" id="{9D05017B-E32E-4021-A12D-54633E8E3D59}"/>
            </a:ext>
          </a:extLst>
        </xdr:cNvPr>
        <xdr:cNvSpPr txBox="1">
          <a:spLocks noChangeArrowheads="1"/>
        </xdr:cNvSpPr>
      </xdr:nvSpPr>
      <xdr:spPr bwMode="auto">
        <a:xfrm>
          <a:off x="16916400"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327932"/>
    <xdr:sp macro="" textlink="">
      <xdr:nvSpPr>
        <xdr:cNvPr id="66" name="Text Box 67">
          <a:extLst>
            <a:ext uri="{FF2B5EF4-FFF2-40B4-BE49-F238E27FC236}">
              <a16:creationId xmlns="" xmlns:a16="http://schemas.microsoft.com/office/drawing/2014/main" id="{9C3ED70C-FD11-4A92-AF01-889667B50DB2}"/>
            </a:ext>
          </a:extLst>
        </xdr:cNvPr>
        <xdr:cNvSpPr txBox="1">
          <a:spLocks noChangeArrowheads="1"/>
        </xdr:cNvSpPr>
      </xdr:nvSpPr>
      <xdr:spPr bwMode="auto">
        <a:xfrm>
          <a:off x="16916400"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327932"/>
    <xdr:sp macro="" textlink="">
      <xdr:nvSpPr>
        <xdr:cNvPr id="67" name="Text Box 68">
          <a:extLst>
            <a:ext uri="{FF2B5EF4-FFF2-40B4-BE49-F238E27FC236}">
              <a16:creationId xmlns="" xmlns:a16="http://schemas.microsoft.com/office/drawing/2014/main" id="{C01BF5B3-4077-403D-AE3B-CFB0E40846CD}"/>
            </a:ext>
          </a:extLst>
        </xdr:cNvPr>
        <xdr:cNvSpPr txBox="1">
          <a:spLocks noChangeArrowheads="1"/>
        </xdr:cNvSpPr>
      </xdr:nvSpPr>
      <xdr:spPr bwMode="auto">
        <a:xfrm>
          <a:off x="16916400"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68" name="Text Box 69">
          <a:extLst>
            <a:ext uri="{FF2B5EF4-FFF2-40B4-BE49-F238E27FC236}">
              <a16:creationId xmlns="" xmlns:a16="http://schemas.microsoft.com/office/drawing/2014/main" id="{321E10DF-DF40-40F5-A92E-0874A78BD9FA}"/>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69" name="Text Box 70">
          <a:extLst>
            <a:ext uri="{FF2B5EF4-FFF2-40B4-BE49-F238E27FC236}">
              <a16:creationId xmlns="" xmlns:a16="http://schemas.microsoft.com/office/drawing/2014/main" id="{76A11119-6F92-4531-8C09-F6CAE54C36B6}"/>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70" name="Text Box 71">
          <a:extLst>
            <a:ext uri="{FF2B5EF4-FFF2-40B4-BE49-F238E27FC236}">
              <a16:creationId xmlns="" xmlns:a16="http://schemas.microsoft.com/office/drawing/2014/main" id="{9F456FBC-B695-4CD7-B769-F29E6A075A71}"/>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71" name="Text Box 72">
          <a:extLst>
            <a:ext uri="{FF2B5EF4-FFF2-40B4-BE49-F238E27FC236}">
              <a16:creationId xmlns="" xmlns:a16="http://schemas.microsoft.com/office/drawing/2014/main" id="{16FC656F-AA00-421E-8999-FDD09810E819}"/>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2" name="Text Box 73">
          <a:extLst>
            <a:ext uri="{FF2B5EF4-FFF2-40B4-BE49-F238E27FC236}">
              <a16:creationId xmlns="" xmlns:a16="http://schemas.microsoft.com/office/drawing/2014/main" id="{B4EE6948-42FF-4A4B-9370-669EB4861F53}"/>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3" name="Text Box 74">
          <a:extLst>
            <a:ext uri="{FF2B5EF4-FFF2-40B4-BE49-F238E27FC236}">
              <a16:creationId xmlns="" xmlns:a16="http://schemas.microsoft.com/office/drawing/2014/main" id="{BEA0843B-F687-4E09-AB8C-954B611E0B9D}"/>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4" name="Text Box 75">
          <a:extLst>
            <a:ext uri="{FF2B5EF4-FFF2-40B4-BE49-F238E27FC236}">
              <a16:creationId xmlns="" xmlns:a16="http://schemas.microsoft.com/office/drawing/2014/main" id="{712D385F-CCA3-42E8-87D4-56F07B52D064}"/>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5" name="Text Box 76">
          <a:extLst>
            <a:ext uri="{FF2B5EF4-FFF2-40B4-BE49-F238E27FC236}">
              <a16:creationId xmlns="" xmlns:a16="http://schemas.microsoft.com/office/drawing/2014/main" id="{FA88ADE6-FF16-4A6E-A51E-B62D1484DC2A}"/>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6" name="Text Box 77">
          <a:extLst>
            <a:ext uri="{FF2B5EF4-FFF2-40B4-BE49-F238E27FC236}">
              <a16:creationId xmlns="" xmlns:a16="http://schemas.microsoft.com/office/drawing/2014/main" id="{6FB718D3-B394-445F-BE79-4D6C70EA4BB6}"/>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7" name="Text Box 78">
          <a:extLst>
            <a:ext uri="{FF2B5EF4-FFF2-40B4-BE49-F238E27FC236}">
              <a16:creationId xmlns="" xmlns:a16="http://schemas.microsoft.com/office/drawing/2014/main" id="{EB5C88D4-DF5E-4529-A879-22B13D2446C9}"/>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8" name="Text Box 79">
          <a:extLst>
            <a:ext uri="{FF2B5EF4-FFF2-40B4-BE49-F238E27FC236}">
              <a16:creationId xmlns="" xmlns:a16="http://schemas.microsoft.com/office/drawing/2014/main" id="{7D33177F-ECDD-4A66-983C-5E5E1D687C4F}"/>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9" name="Text Box 80">
          <a:extLst>
            <a:ext uri="{FF2B5EF4-FFF2-40B4-BE49-F238E27FC236}">
              <a16:creationId xmlns="" xmlns:a16="http://schemas.microsoft.com/office/drawing/2014/main" id="{75A74226-903F-44BF-8417-37A820A7ECC4}"/>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0" name="Text Box 81">
          <a:extLst>
            <a:ext uri="{FF2B5EF4-FFF2-40B4-BE49-F238E27FC236}">
              <a16:creationId xmlns="" xmlns:a16="http://schemas.microsoft.com/office/drawing/2014/main" id="{1E285475-FA2E-41A6-A473-73F0B0F812FE}"/>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1" name="Text Box 82">
          <a:extLst>
            <a:ext uri="{FF2B5EF4-FFF2-40B4-BE49-F238E27FC236}">
              <a16:creationId xmlns="" xmlns:a16="http://schemas.microsoft.com/office/drawing/2014/main" id="{FDE89539-B11D-4C18-A4C5-05D2265E8DAC}"/>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2" name="Text Box 83">
          <a:extLst>
            <a:ext uri="{FF2B5EF4-FFF2-40B4-BE49-F238E27FC236}">
              <a16:creationId xmlns="" xmlns:a16="http://schemas.microsoft.com/office/drawing/2014/main" id="{6C871534-F21A-4AEF-AC5C-B149C26D66BB}"/>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3" name="Text Box 84">
          <a:extLst>
            <a:ext uri="{FF2B5EF4-FFF2-40B4-BE49-F238E27FC236}">
              <a16:creationId xmlns="" xmlns:a16="http://schemas.microsoft.com/office/drawing/2014/main" id="{7C553A19-4D34-47BD-8315-588963FC99DA}"/>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4" name="Text Box 85">
          <a:extLst>
            <a:ext uri="{FF2B5EF4-FFF2-40B4-BE49-F238E27FC236}">
              <a16:creationId xmlns="" xmlns:a16="http://schemas.microsoft.com/office/drawing/2014/main" id="{120A6464-FD42-4B86-9BEE-208954C90B5E}"/>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5" name="Text Box 86">
          <a:extLst>
            <a:ext uri="{FF2B5EF4-FFF2-40B4-BE49-F238E27FC236}">
              <a16:creationId xmlns="" xmlns:a16="http://schemas.microsoft.com/office/drawing/2014/main" id="{7704C5BB-C591-459D-9BBC-95AF26577664}"/>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6" name="Text Box 87">
          <a:extLst>
            <a:ext uri="{FF2B5EF4-FFF2-40B4-BE49-F238E27FC236}">
              <a16:creationId xmlns="" xmlns:a16="http://schemas.microsoft.com/office/drawing/2014/main" id="{45A47995-40E0-4937-B0C4-DED7A3FD55D0}"/>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7" name="Text Box 88">
          <a:extLst>
            <a:ext uri="{FF2B5EF4-FFF2-40B4-BE49-F238E27FC236}">
              <a16:creationId xmlns="" xmlns:a16="http://schemas.microsoft.com/office/drawing/2014/main" id="{D83B8733-830D-4570-BC4E-10A08217BC25}"/>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8" name="Text Box 89">
          <a:extLst>
            <a:ext uri="{FF2B5EF4-FFF2-40B4-BE49-F238E27FC236}">
              <a16:creationId xmlns="" xmlns:a16="http://schemas.microsoft.com/office/drawing/2014/main" id="{5DA0EACA-29AC-459C-BE6B-404DFD72DAEF}"/>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89" name="Text Box 90">
          <a:extLst>
            <a:ext uri="{FF2B5EF4-FFF2-40B4-BE49-F238E27FC236}">
              <a16:creationId xmlns="" xmlns:a16="http://schemas.microsoft.com/office/drawing/2014/main" id="{3C3971EF-F5CC-4928-9A25-499B255B01F3}"/>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90" name="Text Box 91">
          <a:extLst>
            <a:ext uri="{FF2B5EF4-FFF2-40B4-BE49-F238E27FC236}">
              <a16:creationId xmlns="" xmlns:a16="http://schemas.microsoft.com/office/drawing/2014/main" id="{43483B91-60F0-41FF-8CF4-9B569A93EA2D}"/>
            </a:ext>
          </a:extLst>
        </xdr:cNvPr>
        <xdr:cNvSpPr txBox="1">
          <a:spLocks noChangeArrowheads="1"/>
        </xdr:cNvSpPr>
      </xdr:nvSpPr>
      <xdr:spPr bwMode="auto">
        <a:xfrm>
          <a:off x="1797367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91" name="Text Box 92">
          <a:extLst>
            <a:ext uri="{FF2B5EF4-FFF2-40B4-BE49-F238E27FC236}">
              <a16:creationId xmlns="" xmlns:a16="http://schemas.microsoft.com/office/drawing/2014/main" id="{5C5BE56E-5613-4BCC-908F-FF446317961F}"/>
            </a:ext>
          </a:extLst>
        </xdr:cNvPr>
        <xdr:cNvSpPr txBox="1">
          <a:spLocks noChangeArrowheads="1"/>
        </xdr:cNvSpPr>
      </xdr:nvSpPr>
      <xdr:spPr bwMode="auto">
        <a:xfrm>
          <a:off x="1797367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92" name="Text Box 93">
          <a:extLst>
            <a:ext uri="{FF2B5EF4-FFF2-40B4-BE49-F238E27FC236}">
              <a16:creationId xmlns="" xmlns:a16="http://schemas.microsoft.com/office/drawing/2014/main" id="{483D7858-1D1A-4DC4-8BD1-4C9DA368EF08}"/>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93" name="Text Box 94">
          <a:extLst>
            <a:ext uri="{FF2B5EF4-FFF2-40B4-BE49-F238E27FC236}">
              <a16:creationId xmlns="" xmlns:a16="http://schemas.microsoft.com/office/drawing/2014/main" id="{18FF6AED-5BF2-426F-A5C9-0EC31FB2FC47}"/>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94" name="Text Box 95">
          <a:extLst>
            <a:ext uri="{FF2B5EF4-FFF2-40B4-BE49-F238E27FC236}">
              <a16:creationId xmlns="" xmlns:a16="http://schemas.microsoft.com/office/drawing/2014/main" id="{54E1053D-E6EB-4DFA-8E19-1683D881A65A}"/>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95" name="Text Box 96">
          <a:extLst>
            <a:ext uri="{FF2B5EF4-FFF2-40B4-BE49-F238E27FC236}">
              <a16:creationId xmlns="" xmlns:a16="http://schemas.microsoft.com/office/drawing/2014/main" id="{F72B64A7-7F07-4308-9D0E-BBC7C8E97C57}"/>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42207"/>
    <xdr:sp macro="" textlink="">
      <xdr:nvSpPr>
        <xdr:cNvPr id="96" name="Text Box 97">
          <a:extLst>
            <a:ext uri="{FF2B5EF4-FFF2-40B4-BE49-F238E27FC236}">
              <a16:creationId xmlns="" xmlns:a16="http://schemas.microsoft.com/office/drawing/2014/main" id="{8B6076D3-0E88-4329-A7D1-50C01E96727F}"/>
            </a:ext>
          </a:extLst>
        </xdr:cNvPr>
        <xdr:cNvSpPr txBox="1">
          <a:spLocks noChangeArrowheads="1"/>
        </xdr:cNvSpPr>
      </xdr:nvSpPr>
      <xdr:spPr bwMode="auto">
        <a:xfrm>
          <a:off x="16916400"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42207"/>
    <xdr:sp macro="" textlink="">
      <xdr:nvSpPr>
        <xdr:cNvPr id="97" name="Text Box 98">
          <a:extLst>
            <a:ext uri="{FF2B5EF4-FFF2-40B4-BE49-F238E27FC236}">
              <a16:creationId xmlns="" xmlns:a16="http://schemas.microsoft.com/office/drawing/2014/main" id="{1A6307FE-D22F-4678-9F4E-4DABF87CB0E9}"/>
            </a:ext>
          </a:extLst>
        </xdr:cNvPr>
        <xdr:cNvSpPr txBox="1">
          <a:spLocks noChangeArrowheads="1"/>
        </xdr:cNvSpPr>
      </xdr:nvSpPr>
      <xdr:spPr bwMode="auto">
        <a:xfrm>
          <a:off x="16916400"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98" name="Text Box 99">
          <a:extLst>
            <a:ext uri="{FF2B5EF4-FFF2-40B4-BE49-F238E27FC236}">
              <a16:creationId xmlns="" xmlns:a16="http://schemas.microsoft.com/office/drawing/2014/main" id="{55EBF409-FE8B-42E9-8934-F205302DDD94}"/>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99" name="Text Box 100">
          <a:extLst>
            <a:ext uri="{FF2B5EF4-FFF2-40B4-BE49-F238E27FC236}">
              <a16:creationId xmlns="" xmlns:a16="http://schemas.microsoft.com/office/drawing/2014/main" id="{D74F2C82-4CF7-4B6F-AFC8-5C585D684F4E}"/>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00" name="Text Box 101">
          <a:extLst>
            <a:ext uri="{FF2B5EF4-FFF2-40B4-BE49-F238E27FC236}">
              <a16:creationId xmlns="" xmlns:a16="http://schemas.microsoft.com/office/drawing/2014/main" id="{FB014373-FD56-427F-ACBC-87BD4A827DFB}"/>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01" name="Text Box 102">
          <a:extLst>
            <a:ext uri="{FF2B5EF4-FFF2-40B4-BE49-F238E27FC236}">
              <a16:creationId xmlns="" xmlns:a16="http://schemas.microsoft.com/office/drawing/2014/main" id="{16663CAE-9778-44C2-8FDA-00EA3B1E5D39}"/>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02" name="Text Box 103">
          <a:extLst>
            <a:ext uri="{FF2B5EF4-FFF2-40B4-BE49-F238E27FC236}">
              <a16:creationId xmlns="" xmlns:a16="http://schemas.microsoft.com/office/drawing/2014/main" id="{BA2B3014-F6F9-4E3B-9EA8-1CA368C150D8}"/>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03" name="Text Box 104">
          <a:extLst>
            <a:ext uri="{FF2B5EF4-FFF2-40B4-BE49-F238E27FC236}">
              <a16:creationId xmlns="" xmlns:a16="http://schemas.microsoft.com/office/drawing/2014/main" id="{5EBC8F92-DD0F-45CA-836D-621ADCE4C5C0}"/>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04" name="Text Box 105">
          <a:extLst>
            <a:ext uri="{FF2B5EF4-FFF2-40B4-BE49-F238E27FC236}">
              <a16:creationId xmlns="" xmlns:a16="http://schemas.microsoft.com/office/drawing/2014/main" id="{9BF7348B-E595-4063-AE2C-9244116AC12C}"/>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05" name="Text Box 106">
          <a:extLst>
            <a:ext uri="{FF2B5EF4-FFF2-40B4-BE49-F238E27FC236}">
              <a16:creationId xmlns="" xmlns:a16="http://schemas.microsoft.com/office/drawing/2014/main" id="{7FE2EA32-64B2-4BA5-99AB-A6E924BBAC67}"/>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06" name="Text Box 107">
          <a:extLst>
            <a:ext uri="{FF2B5EF4-FFF2-40B4-BE49-F238E27FC236}">
              <a16:creationId xmlns="" xmlns:a16="http://schemas.microsoft.com/office/drawing/2014/main" id="{04EE777B-AFEE-43B9-96CB-BB18B75C94A3}"/>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07" name="Text Box 108">
          <a:extLst>
            <a:ext uri="{FF2B5EF4-FFF2-40B4-BE49-F238E27FC236}">
              <a16:creationId xmlns="" xmlns:a16="http://schemas.microsoft.com/office/drawing/2014/main" id="{20B5D22D-A68E-4D07-8C82-3638892C893E}"/>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08" name="Text Box 109">
          <a:extLst>
            <a:ext uri="{FF2B5EF4-FFF2-40B4-BE49-F238E27FC236}">
              <a16:creationId xmlns="" xmlns:a16="http://schemas.microsoft.com/office/drawing/2014/main" id="{9A0136D5-B790-4030-892F-9B59E58D1EB2}"/>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09" name="Text Box 110">
          <a:extLst>
            <a:ext uri="{FF2B5EF4-FFF2-40B4-BE49-F238E27FC236}">
              <a16:creationId xmlns="" xmlns:a16="http://schemas.microsoft.com/office/drawing/2014/main" id="{BA8030F8-9E98-40C8-8A13-8AABB819F0E0}"/>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10" name="Text Box 111">
          <a:extLst>
            <a:ext uri="{FF2B5EF4-FFF2-40B4-BE49-F238E27FC236}">
              <a16:creationId xmlns="" xmlns:a16="http://schemas.microsoft.com/office/drawing/2014/main" id="{9C987664-7C27-4B44-904F-543D9AAEA69C}"/>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11" name="Text Box 112">
          <a:extLst>
            <a:ext uri="{FF2B5EF4-FFF2-40B4-BE49-F238E27FC236}">
              <a16:creationId xmlns="" xmlns:a16="http://schemas.microsoft.com/office/drawing/2014/main" id="{14AE981C-0D7F-48C5-86D9-92734DFA07E7}"/>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12" name="Text Box 113">
          <a:extLst>
            <a:ext uri="{FF2B5EF4-FFF2-40B4-BE49-F238E27FC236}">
              <a16:creationId xmlns="" xmlns:a16="http://schemas.microsoft.com/office/drawing/2014/main" id="{3FCF5E89-CF3D-427B-9FD3-1997230079CC}"/>
            </a:ext>
          </a:extLst>
        </xdr:cNvPr>
        <xdr:cNvSpPr txBox="1">
          <a:spLocks noChangeArrowheads="1"/>
        </xdr:cNvSpPr>
      </xdr:nvSpPr>
      <xdr:spPr bwMode="auto">
        <a:xfrm>
          <a:off x="1691640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13" name="Text Box 114">
          <a:extLst>
            <a:ext uri="{FF2B5EF4-FFF2-40B4-BE49-F238E27FC236}">
              <a16:creationId xmlns="" xmlns:a16="http://schemas.microsoft.com/office/drawing/2014/main" id="{8035C984-44CC-4D2D-B40D-8ED0885C131C}"/>
            </a:ext>
          </a:extLst>
        </xdr:cNvPr>
        <xdr:cNvSpPr txBox="1">
          <a:spLocks noChangeArrowheads="1"/>
        </xdr:cNvSpPr>
      </xdr:nvSpPr>
      <xdr:spPr bwMode="auto">
        <a:xfrm>
          <a:off x="1691640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14" name="Text Box 115">
          <a:extLst>
            <a:ext uri="{FF2B5EF4-FFF2-40B4-BE49-F238E27FC236}">
              <a16:creationId xmlns="" xmlns:a16="http://schemas.microsoft.com/office/drawing/2014/main" id="{948CFDE0-D76D-48DB-8F80-F50F8F58F7C4}"/>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15" name="Text Box 116">
          <a:extLst>
            <a:ext uri="{FF2B5EF4-FFF2-40B4-BE49-F238E27FC236}">
              <a16:creationId xmlns="" xmlns:a16="http://schemas.microsoft.com/office/drawing/2014/main" id="{FF6C3141-0D13-415A-AD11-74E64168A7C7}"/>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16" name="Text Box 117">
          <a:extLst>
            <a:ext uri="{FF2B5EF4-FFF2-40B4-BE49-F238E27FC236}">
              <a16:creationId xmlns="" xmlns:a16="http://schemas.microsoft.com/office/drawing/2014/main" id="{E20F3E31-2BB8-49B8-BA1F-8A1CEC825457}"/>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17" name="Text Box 118">
          <a:extLst>
            <a:ext uri="{FF2B5EF4-FFF2-40B4-BE49-F238E27FC236}">
              <a16:creationId xmlns="" xmlns:a16="http://schemas.microsoft.com/office/drawing/2014/main" id="{93941280-3699-4456-A3F3-DF0E2D94DD66}"/>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18" name="Text Box 119">
          <a:extLst>
            <a:ext uri="{FF2B5EF4-FFF2-40B4-BE49-F238E27FC236}">
              <a16:creationId xmlns="" xmlns:a16="http://schemas.microsoft.com/office/drawing/2014/main" id="{9BF21A06-0B81-4A70-905C-96406D7CEBBD}"/>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19" name="Text Box 120">
          <a:extLst>
            <a:ext uri="{FF2B5EF4-FFF2-40B4-BE49-F238E27FC236}">
              <a16:creationId xmlns="" xmlns:a16="http://schemas.microsoft.com/office/drawing/2014/main" id="{F975680A-CEEE-4E2D-8A4D-916544AD837A}"/>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20" name="Text Box 121">
          <a:extLst>
            <a:ext uri="{FF2B5EF4-FFF2-40B4-BE49-F238E27FC236}">
              <a16:creationId xmlns="" xmlns:a16="http://schemas.microsoft.com/office/drawing/2014/main" id="{A4CAA857-F04C-45CA-8F59-D4C6EC3A60C8}"/>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21" name="Text Box 122">
          <a:extLst>
            <a:ext uri="{FF2B5EF4-FFF2-40B4-BE49-F238E27FC236}">
              <a16:creationId xmlns="" xmlns:a16="http://schemas.microsoft.com/office/drawing/2014/main" id="{183B3D21-4FF3-4A84-AC8A-420ECA11E5B8}"/>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22" name="Text Box 123">
          <a:extLst>
            <a:ext uri="{FF2B5EF4-FFF2-40B4-BE49-F238E27FC236}">
              <a16:creationId xmlns="" xmlns:a16="http://schemas.microsoft.com/office/drawing/2014/main" id="{3A3A80CA-4195-418F-91FF-5A8F8654DC1E}"/>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23" name="Text Box 124">
          <a:extLst>
            <a:ext uri="{FF2B5EF4-FFF2-40B4-BE49-F238E27FC236}">
              <a16:creationId xmlns="" xmlns:a16="http://schemas.microsoft.com/office/drawing/2014/main" id="{6BC0C94B-6A0F-4489-AB17-69DB1CB73C65}"/>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24" name="Text Box 125">
          <a:extLst>
            <a:ext uri="{FF2B5EF4-FFF2-40B4-BE49-F238E27FC236}">
              <a16:creationId xmlns="" xmlns:a16="http://schemas.microsoft.com/office/drawing/2014/main" id="{ADAB8F8B-5B34-4865-A442-12D3788EC174}"/>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25" name="Text Box 126">
          <a:extLst>
            <a:ext uri="{FF2B5EF4-FFF2-40B4-BE49-F238E27FC236}">
              <a16:creationId xmlns="" xmlns:a16="http://schemas.microsoft.com/office/drawing/2014/main" id="{44B79345-8B7B-4CA7-9D72-F755A6CCD769}"/>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26" name="Text Box 127">
          <a:extLst>
            <a:ext uri="{FF2B5EF4-FFF2-40B4-BE49-F238E27FC236}">
              <a16:creationId xmlns="" xmlns:a16="http://schemas.microsoft.com/office/drawing/2014/main" id="{79583E84-058B-4858-BF78-6376F799BC91}"/>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27" name="Text Box 128">
          <a:extLst>
            <a:ext uri="{FF2B5EF4-FFF2-40B4-BE49-F238E27FC236}">
              <a16:creationId xmlns="" xmlns:a16="http://schemas.microsoft.com/office/drawing/2014/main" id="{846C86E1-00F1-4350-8504-F9836E692C8F}"/>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28" name="Text Box 129">
          <a:extLst>
            <a:ext uri="{FF2B5EF4-FFF2-40B4-BE49-F238E27FC236}">
              <a16:creationId xmlns="" xmlns:a16="http://schemas.microsoft.com/office/drawing/2014/main" id="{EC667CEF-854B-4BD3-BF73-19301F77C57C}"/>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29" name="Text Box 130">
          <a:extLst>
            <a:ext uri="{FF2B5EF4-FFF2-40B4-BE49-F238E27FC236}">
              <a16:creationId xmlns="" xmlns:a16="http://schemas.microsoft.com/office/drawing/2014/main" id="{3E3E0044-3E1E-4D66-A834-45D5F462FF65}"/>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30" name="Text Box 131">
          <a:extLst>
            <a:ext uri="{FF2B5EF4-FFF2-40B4-BE49-F238E27FC236}">
              <a16:creationId xmlns="" xmlns:a16="http://schemas.microsoft.com/office/drawing/2014/main" id="{5E9FE65D-8E83-44C6-BA97-1434DC24DD90}"/>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31" name="Text Box 132">
          <a:extLst>
            <a:ext uri="{FF2B5EF4-FFF2-40B4-BE49-F238E27FC236}">
              <a16:creationId xmlns="" xmlns:a16="http://schemas.microsoft.com/office/drawing/2014/main" id="{B5168600-58B5-4FF3-A251-7FB5C30FADBA}"/>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32" name="Text Box 133">
          <a:extLst>
            <a:ext uri="{FF2B5EF4-FFF2-40B4-BE49-F238E27FC236}">
              <a16:creationId xmlns="" xmlns:a16="http://schemas.microsoft.com/office/drawing/2014/main" id="{9DB87D3C-1A56-4DCD-9037-A926F0DC05AE}"/>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33" name="Text Box 134">
          <a:extLst>
            <a:ext uri="{FF2B5EF4-FFF2-40B4-BE49-F238E27FC236}">
              <a16:creationId xmlns="" xmlns:a16="http://schemas.microsoft.com/office/drawing/2014/main" id="{86591745-072E-4162-88BB-2541EF0FE192}"/>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34" name="Text Box 135">
          <a:extLst>
            <a:ext uri="{FF2B5EF4-FFF2-40B4-BE49-F238E27FC236}">
              <a16:creationId xmlns="" xmlns:a16="http://schemas.microsoft.com/office/drawing/2014/main" id="{EBE85C43-7E8B-47AD-92FD-29BD57FE1D01}"/>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35" name="Text Box 136">
          <a:extLst>
            <a:ext uri="{FF2B5EF4-FFF2-40B4-BE49-F238E27FC236}">
              <a16:creationId xmlns="" xmlns:a16="http://schemas.microsoft.com/office/drawing/2014/main" id="{FF809E4E-DFA8-4738-8492-ABF2EDAA2619}"/>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36" name="Text Box 137">
          <a:extLst>
            <a:ext uri="{FF2B5EF4-FFF2-40B4-BE49-F238E27FC236}">
              <a16:creationId xmlns="" xmlns:a16="http://schemas.microsoft.com/office/drawing/2014/main" id="{24EFCAE9-1CA0-4044-A17D-74B9E87644D9}"/>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37" name="Text Box 138">
          <a:extLst>
            <a:ext uri="{FF2B5EF4-FFF2-40B4-BE49-F238E27FC236}">
              <a16:creationId xmlns="" xmlns:a16="http://schemas.microsoft.com/office/drawing/2014/main" id="{04D2450F-050D-4B27-88F8-2F732A36C9EF}"/>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38" name="Text Box 139">
          <a:extLst>
            <a:ext uri="{FF2B5EF4-FFF2-40B4-BE49-F238E27FC236}">
              <a16:creationId xmlns="" xmlns:a16="http://schemas.microsoft.com/office/drawing/2014/main" id="{4C1117B3-7052-49FA-9E37-B494B3C82940}"/>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39" name="Text Box 140">
          <a:extLst>
            <a:ext uri="{FF2B5EF4-FFF2-40B4-BE49-F238E27FC236}">
              <a16:creationId xmlns="" xmlns:a16="http://schemas.microsoft.com/office/drawing/2014/main" id="{79385E0E-3761-4603-B6DC-EEB49979CE00}"/>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0" name="Text Box 141">
          <a:extLst>
            <a:ext uri="{FF2B5EF4-FFF2-40B4-BE49-F238E27FC236}">
              <a16:creationId xmlns="" xmlns:a16="http://schemas.microsoft.com/office/drawing/2014/main" id="{369502C5-B18F-4F88-90C8-D9DA1C140AE6}"/>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1" name="Text Box 142">
          <a:extLst>
            <a:ext uri="{FF2B5EF4-FFF2-40B4-BE49-F238E27FC236}">
              <a16:creationId xmlns="" xmlns:a16="http://schemas.microsoft.com/office/drawing/2014/main" id="{CA9F7D5B-4DDE-432E-A805-A2D63D5D5BE6}"/>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42" name="Text Box 143">
          <a:extLst>
            <a:ext uri="{FF2B5EF4-FFF2-40B4-BE49-F238E27FC236}">
              <a16:creationId xmlns="" xmlns:a16="http://schemas.microsoft.com/office/drawing/2014/main" id="{73A54251-2E1A-4B12-81B3-933E778F4F41}"/>
            </a:ext>
          </a:extLst>
        </xdr:cNvPr>
        <xdr:cNvSpPr txBox="1">
          <a:spLocks noChangeArrowheads="1"/>
        </xdr:cNvSpPr>
      </xdr:nvSpPr>
      <xdr:spPr bwMode="auto">
        <a:xfrm>
          <a:off x="16916400"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43" name="Text Box 144">
          <a:extLst>
            <a:ext uri="{FF2B5EF4-FFF2-40B4-BE49-F238E27FC236}">
              <a16:creationId xmlns="" xmlns:a16="http://schemas.microsoft.com/office/drawing/2014/main" id="{E278F1ED-CEF9-48F1-89AA-AAED016BB849}"/>
            </a:ext>
          </a:extLst>
        </xdr:cNvPr>
        <xdr:cNvSpPr txBox="1">
          <a:spLocks noChangeArrowheads="1"/>
        </xdr:cNvSpPr>
      </xdr:nvSpPr>
      <xdr:spPr bwMode="auto">
        <a:xfrm>
          <a:off x="16916400"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327932"/>
    <xdr:sp macro="" textlink="">
      <xdr:nvSpPr>
        <xdr:cNvPr id="144" name="Text Box 145">
          <a:extLst>
            <a:ext uri="{FF2B5EF4-FFF2-40B4-BE49-F238E27FC236}">
              <a16:creationId xmlns="" xmlns:a16="http://schemas.microsoft.com/office/drawing/2014/main" id="{C67B5441-91A5-4AE2-8EF9-8BE6227FAC7B}"/>
            </a:ext>
          </a:extLst>
        </xdr:cNvPr>
        <xdr:cNvSpPr txBox="1">
          <a:spLocks noChangeArrowheads="1"/>
        </xdr:cNvSpPr>
      </xdr:nvSpPr>
      <xdr:spPr bwMode="auto">
        <a:xfrm>
          <a:off x="16916400"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327932"/>
    <xdr:sp macro="" textlink="">
      <xdr:nvSpPr>
        <xdr:cNvPr id="145" name="Text Box 146">
          <a:extLst>
            <a:ext uri="{FF2B5EF4-FFF2-40B4-BE49-F238E27FC236}">
              <a16:creationId xmlns="" xmlns:a16="http://schemas.microsoft.com/office/drawing/2014/main" id="{6ABB19C7-2A24-48F0-815B-06349F8E9EFD}"/>
            </a:ext>
          </a:extLst>
        </xdr:cNvPr>
        <xdr:cNvSpPr txBox="1">
          <a:spLocks noChangeArrowheads="1"/>
        </xdr:cNvSpPr>
      </xdr:nvSpPr>
      <xdr:spPr bwMode="auto">
        <a:xfrm>
          <a:off x="16916400"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46" name="Text Box 147">
          <a:extLst>
            <a:ext uri="{FF2B5EF4-FFF2-40B4-BE49-F238E27FC236}">
              <a16:creationId xmlns="" xmlns:a16="http://schemas.microsoft.com/office/drawing/2014/main" id="{937917B1-3A17-4D33-B82C-244E31B31408}"/>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47" name="Text Box 148">
          <a:extLst>
            <a:ext uri="{FF2B5EF4-FFF2-40B4-BE49-F238E27FC236}">
              <a16:creationId xmlns="" xmlns:a16="http://schemas.microsoft.com/office/drawing/2014/main" id="{D4BEDF16-9D8F-40A1-AC74-4D483F3E6A48}"/>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48" name="Text Box 149">
          <a:extLst>
            <a:ext uri="{FF2B5EF4-FFF2-40B4-BE49-F238E27FC236}">
              <a16:creationId xmlns="" xmlns:a16="http://schemas.microsoft.com/office/drawing/2014/main" id="{D4A1EB4F-5169-4C56-BC3D-65275B8419DB}"/>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49" name="Text Box 150">
          <a:extLst>
            <a:ext uri="{FF2B5EF4-FFF2-40B4-BE49-F238E27FC236}">
              <a16:creationId xmlns="" xmlns:a16="http://schemas.microsoft.com/office/drawing/2014/main" id="{7B5C597F-6B3D-4F60-80AE-12437E378EC1}"/>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0" name="Text Box 151">
          <a:extLst>
            <a:ext uri="{FF2B5EF4-FFF2-40B4-BE49-F238E27FC236}">
              <a16:creationId xmlns="" xmlns:a16="http://schemas.microsoft.com/office/drawing/2014/main" id="{D9939FF8-2C24-41BF-827E-74F5227DE5BE}"/>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1" name="Text Box 152">
          <a:extLst>
            <a:ext uri="{FF2B5EF4-FFF2-40B4-BE49-F238E27FC236}">
              <a16:creationId xmlns="" xmlns:a16="http://schemas.microsoft.com/office/drawing/2014/main" id="{245F8478-95A8-4C47-BEE7-CCDB4A728270}"/>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2" name="Text Box 153">
          <a:extLst>
            <a:ext uri="{FF2B5EF4-FFF2-40B4-BE49-F238E27FC236}">
              <a16:creationId xmlns="" xmlns:a16="http://schemas.microsoft.com/office/drawing/2014/main" id="{0806BBEB-7E33-44A7-A579-C7CB6658427C}"/>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3" name="Text Box 154">
          <a:extLst>
            <a:ext uri="{FF2B5EF4-FFF2-40B4-BE49-F238E27FC236}">
              <a16:creationId xmlns="" xmlns:a16="http://schemas.microsoft.com/office/drawing/2014/main" id="{37516EC7-C2AA-4CE8-BD8F-4CF65D377333}"/>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4" name="Text Box 155">
          <a:extLst>
            <a:ext uri="{FF2B5EF4-FFF2-40B4-BE49-F238E27FC236}">
              <a16:creationId xmlns="" xmlns:a16="http://schemas.microsoft.com/office/drawing/2014/main" id="{AD2704E2-CB81-45CC-865E-DF99744352C4}"/>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5" name="Text Box 156">
          <a:extLst>
            <a:ext uri="{FF2B5EF4-FFF2-40B4-BE49-F238E27FC236}">
              <a16:creationId xmlns="" xmlns:a16="http://schemas.microsoft.com/office/drawing/2014/main" id="{171CC2AC-E0DA-4CB3-81F5-A0F55AC2E7BE}"/>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6" name="Text Box 157">
          <a:extLst>
            <a:ext uri="{FF2B5EF4-FFF2-40B4-BE49-F238E27FC236}">
              <a16:creationId xmlns="" xmlns:a16="http://schemas.microsoft.com/office/drawing/2014/main" id="{48ED2800-8B1E-4AD3-AC17-8724AB6DD63A}"/>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7" name="Text Box 158">
          <a:extLst>
            <a:ext uri="{FF2B5EF4-FFF2-40B4-BE49-F238E27FC236}">
              <a16:creationId xmlns="" xmlns:a16="http://schemas.microsoft.com/office/drawing/2014/main" id="{035E2E45-8F38-4473-B1AA-1E42C5401370}"/>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8" name="Text Box 214">
          <a:extLst>
            <a:ext uri="{FF2B5EF4-FFF2-40B4-BE49-F238E27FC236}">
              <a16:creationId xmlns="" xmlns:a16="http://schemas.microsoft.com/office/drawing/2014/main" id="{496B0C94-BC0F-42A4-892D-25FBB7112967}"/>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9" name="Text Box 215">
          <a:extLst>
            <a:ext uri="{FF2B5EF4-FFF2-40B4-BE49-F238E27FC236}">
              <a16:creationId xmlns="" xmlns:a16="http://schemas.microsoft.com/office/drawing/2014/main" id="{F5A57C08-695B-4226-B205-DD87D03A3F24}"/>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160" name="Text Box 277024">
          <a:extLst>
            <a:ext uri="{FF2B5EF4-FFF2-40B4-BE49-F238E27FC236}">
              <a16:creationId xmlns="" xmlns:a16="http://schemas.microsoft.com/office/drawing/2014/main" id="{CA0E6F09-9558-44B9-8813-E1FA2C2AFB17}"/>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161" name="Text Box 277025">
          <a:extLst>
            <a:ext uri="{FF2B5EF4-FFF2-40B4-BE49-F238E27FC236}">
              <a16:creationId xmlns="" xmlns:a16="http://schemas.microsoft.com/office/drawing/2014/main" id="{D8DBC2EC-DBB4-49CF-8FE2-42E65EFAA84D}"/>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162" name="Text Box 277026">
          <a:extLst>
            <a:ext uri="{FF2B5EF4-FFF2-40B4-BE49-F238E27FC236}">
              <a16:creationId xmlns="" xmlns:a16="http://schemas.microsoft.com/office/drawing/2014/main" id="{49FC4CAD-B976-4AC4-B8DE-DEA1A1AE6394}"/>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63" name="Text Box 198">
          <a:extLst>
            <a:ext uri="{FF2B5EF4-FFF2-40B4-BE49-F238E27FC236}">
              <a16:creationId xmlns="" xmlns:a16="http://schemas.microsoft.com/office/drawing/2014/main" id="{29ADD342-DB86-45C5-A7AE-DE3729DE7F6E}"/>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64" name="Text Box 199">
          <a:extLst>
            <a:ext uri="{FF2B5EF4-FFF2-40B4-BE49-F238E27FC236}">
              <a16:creationId xmlns="" xmlns:a16="http://schemas.microsoft.com/office/drawing/2014/main" id="{CAA05A10-7DF8-45D0-B194-FB8049B3B86A}"/>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65" name="Text Box 208">
          <a:extLst>
            <a:ext uri="{FF2B5EF4-FFF2-40B4-BE49-F238E27FC236}">
              <a16:creationId xmlns="" xmlns:a16="http://schemas.microsoft.com/office/drawing/2014/main" id="{61C8C4C8-16A4-49E6-AA21-D5EE52984C0D}"/>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66" name="Text Box 209">
          <a:extLst>
            <a:ext uri="{FF2B5EF4-FFF2-40B4-BE49-F238E27FC236}">
              <a16:creationId xmlns="" xmlns:a16="http://schemas.microsoft.com/office/drawing/2014/main" id="{8BCC3ED0-2366-44DA-9079-E7A1DDE2FC67}"/>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67" name="Text Box 210">
          <a:extLst>
            <a:ext uri="{FF2B5EF4-FFF2-40B4-BE49-F238E27FC236}">
              <a16:creationId xmlns="" xmlns:a16="http://schemas.microsoft.com/office/drawing/2014/main" id="{5850DCE3-A34D-4F36-83A8-327452B33190}"/>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68" name="Text Box 211">
          <a:extLst>
            <a:ext uri="{FF2B5EF4-FFF2-40B4-BE49-F238E27FC236}">
              <a16:creationId xmlns="" xmlns:a16="http://schemas.microsoft.com/office/drawing/2014/main" id="{A998CFBF-B505-4579-AB1F-2EF3E2CFE41E}"/>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69" name="Text Box 43">
          <a:extLst>
            <a:ext uri="{FF2B5EF4-FFF2-40B4-BE49-F238E27FC236}">
              <a16:creationId xmlns="" xmlns:a16="http://schemas.microsoft.com/office/drawing/2014/main" id="{94AD6F7D-374C-4455-8A97-BF2BB4BCADC2}"/>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70" name="Text Box 45">
          <a:extLst>
            <a:ext uri="{FF2B5EF4-FFF2-40B4-BE49-F238E27FC236}">
              <a16:creationId xmlns="" xmlns:a16="http://schemas.microsoft.com/office/drawing/2014/main" id="{0A5D7A86-F2F5-49E2-8F93-A19B3539ED4F}"/>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71" name="Text Box 47">
          <a:extLst>
            <a:ext uri="{FF2B5EF4-FFF2-40B4-BE49-F238E27FC236}">
              <a16:creationId xmlns="" xmlns:a16="http://schemas.microsoft.com/office/drawing/2014/main" id="{AD0C6A48-451C-4485-ABFF-9D5E285BAB2C}"/>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72" name="Text Box 48">
          <a:extLst>
            <a:ext uri="{FF2B5EF4-FFF2-40B4-BE49-F238E27FC236}">
              <a16:creationId xmlns="" xmlns:a16="http://schemas.microsoft.com/office/drawing/2014/main" id="{0A788D7C-3BA3-47F3-916A-D3AE5A70AF30}"/>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07104"/>
    <xdr:sp macro="" textlink="">
      <xdr:nvSpPr>
        <xdr:cNvPr id="173" name="Text Box 394">
          <a:extLst>
            <a:ext uri="{FF2B5EF4-FFF2-40B4-BE49-F238E27FC236}">
              <a16:creationId xmlns="" xmlns:a16="http://schemas.microsoft.com/office/drawing/2014/main" id="{6F5AF740-41B1-4781-BFDA-96795B1D756C}"/>
            </a:ext>
          </a:extLst>
        </xdr:cNvPr>
        <xdr:cNvSpPr txBox="1">
          <a:spLocks noChangeArrowheads="1"/>
        </xdr:cNvSpPr>
      </xdr:nvSpPr>
      <xdr:spPr bwMode="auto">
        <a:xfrm>
          <a:off x="17973675" y="73380600"/>
          <a:ext cx="76200" cy="240710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07104"/>
    <xdr:sp macro="" textlink="">
      <xdr:nvSpPr>
        <xdr:cNvPr id="174" name="Text Box 395">
          <a:extLst>
            <a:ext uri="{FF2B5EF4-FFF2-40B4-BE49-F238E27FC236}">
              <a16:creationId xmlns="" xmlns:a16="http://schemas.microsoft.com/office/drawing/2014/main" id="{3D603A24-5937-43C3-B230-5FB36E735D78}"/>
            </a:ext>
          </a:extLst>
        </xdr:cNvPr>
        <xdr:cNvSpPr txBox="1">
          <a:spLocks noChangeArrowheads="1"/>
        </xdr:cNvSpPr>
      </xdr:nvSpPr>
      <xdr:spPr bwMode="auto">
        <a:xfrm>
          <a:off x="17973675" y="73380600"/>
          <a:ext cx="76200" cy="240710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07104"/>
    <xdr:sp macro="" textlink="">
      <xdr:nvSpPr>
        <xdr:cNvPr id="175" name="Text Box 396">
          <a:extLst>
            <a:ext uri="{FF2B5EF4-FFF2-40B4-BE49-F238E27FC236}">
              <a16:creationId xmlns="" xmlns:a16="http://schemas.microsoft.com/office/drawing/2014/main" id="{89138173-0F9F-42A1-BBC6-E5299592C751}"/>
            </a:ext>
          </a:extLst>
        </xdr:cNvPr>
        <xdr:cNvSpPr txBox="1">
          <a:spLocks noChangeArrowheads="1"/>
        </xdr:cNvSpPr>
      </xdr:nvSpPr>
      <xdr:spPr bwMode="auto">
        <a:xfrm>
          <a:off x="17973675" y="73380600"/>
          <a:ext cx="76200" cy="240710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07104"/>
    <xdr:sp macro="" textlink="">
      <xdr:nvSpPr>
        <xdr:cNvPr id="176" name="Text Box 397">
          <a:extLst>
            <a:ext uri="{FF2B5EF4-FFF2-40B4-BE49-F238E27FC236}">
              <a16:creationId xmlns="" xmlns:a16="http://schemas.microsoft.com/office/drawing/2014/main" id="{0BD85F85-890F-4D2A-B5CB-9916B09A1CFB}"/>
            </a:ext>
          </a:extLst>
        </xdr:cNvPr>
        <xdr:cNvSpPr txBox="1">
          <a:spLocks noChangeArrowheads="1"/>
        </xdr:cNvSpPr>
      </xdr:nvSpPr>
      <xdr:spPr bwMode="auto">
        <a:xfrm>
          <a:off x="17973675" y="73380600"/>
          <a:ext cx="76200" cy="240710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77" name="Text Box 43">
          <a:extLst>
            <a:ext uri="{FF2B5EF4-FFF2-40B4-BE49-F238E27FC236}">
              <a16:creationId xmlns="" xmlns:a16="http://schemas.microsoft.com/office/drawing/2014/main" id="{AC6F8066-B48A-4307-9363-16DA5232914F}"/>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78" name="Text Box 45">
          <a:extLst>
            <a:ext uri="{FF2B5EF4-FFF2-40B4-BE49-F238E27FC236}">
              <a16:creationId xmlns="" xmlns:a16="http://schemas.microsoft.com/office/drawing/2014/main" id="{9D967629-D84D-4ACA-A9C0-CADBAD18C4A6}"/>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79" name="Text Box 47">
          <a:extLst>
            <a:ext uri="{FF2B5EF4-FFF2-40B4-BE49-F238E27FC236}">
              <a16:creationId xmlns="" xmlns:a16="http://schemas.microsoft.com/office/drawing/2014/main" id="{54E2EC9A-79BA-4002-A317-89D9862A184E}"/>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180" name="Text Box 48">
          <a:extLst>
            <a:ext uri="{FF2B5EF4-FFF2-40B4-BE49-F238E27FC236}">
              <a16:creationId xmlns="" xmlns:a16="http://schemas.microsoft.com/office/drawing/2014/main" id="{22B1971D-9BA1-41AF-BA95-E63F63F4E328}"/>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33057"/>
    <xdr:sp macro="" textlink="">
      <xdr:nvSpPr>
        <xdr:cNvPr id="181" name="Text Box 607">
          <a:extLst>
            <a:ext uri="{FF2B5EF4-FFF2-40B4-BE49-F238E27FC236}">
              <a16:creationId xmlns="" xmlns:a16="http://schemas.microsoft.com/office/drawing/2014/main" id="{574F4AEB-1DFB-45D6-BCA3-249DBDFEF3BB}"/>
            </a:ext>
          </a:extLst>
        </xdr:cNvPr>
        <xdr:cNvSpPr txBox="1">
          <a:spLocks noChangeArrowheads="1"/>
        </xdr:cNvSpPr>
      </xdr:nvSpPr>
      <xdr:spPr bwMode="auto">
        <a:xfrm>
          <a:off x="17973675" y="73380600"/>
          <a:ext cx="76200" cy="32330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33057"/>
    <xdr:sp macro="" textlink="">
      <xdr:nvSpPr>
        <xdr:cNvPr id="182" name="Text Box 608">
          <a:extLst>
            <a:ext uri="{FF2B5EF4-FFF2-40B4-BE49-F238E27FC236}">
              <a16:creationId xmlns="" xmlns:a16="http://schemas.microsoft.com/office/drawing/2014/main" id="{F92AB529-F522-44A1-833F-B0D30671E9BC}"/>
            </a:ext>
          </a:extLst>
        </xdr:cNvPr>
        <xdr:cNvSpPr txBox="1">
          <a:spLocks noChangeArrowheads="1"/>
        </xdr:cNvSpPr>
      </xdr:nvSpPr>
      <xdr:spPr bwMode="auto">
        <a:xfrm>
          <a:off x="17973675" y="73380600"/>
          <a:ext cx="76200" cy="32330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6154"/>
    <xdr:sp macro="" textlink="">
      <xdr:nvSpPr>
        <xdr:cNvPr id="183" name="Text Box 617">
          <a:extLst>
            <a:ext uri="{FF2B5EF4-FFF2-40B4-BE49-F238E27FC236}">
              <a16:creationId xmlns="" xmlns:a16="http://schemas.microsoft.com/office/drawing/2014/main" id="{D282B850-CE78-45D9-9867-08F5B3BA67C6}"/>
            </a:ext>
          </a:extLst>
        </xdr:cNvPr>
        <xdr:cNvSpPr txBox="1">
          <a:spLocks noChangeArrowheads="1"/>
        </xdr:cNvSpPr>
      </xdr:nvSpPr>
      <xdr:spPr bwMode="auto">
        <a:xfrm>
          <a:off x="17973675" y="73380600"/>
          <a:ext cx="76200" cy="242615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6154"/>
    <xdr:sp macro="" textlink="">
      <xdr:nvSpPr>
        <xdr:cNvPr id="184" name="Text Box 618">
          <a:extLst>
            <a:ext uri="{FF2B5EF4-FFF2-40B4-BE49-F238E27FC236}">
              <a16:creationId xmlns="" xmlns:a16="http://schemas.microsoft.com/office/drawing/2014/main" id="{6599FF07-FC5F-4EC6-8BF6-34ED3C329169}"/>
            </a:ext>
          </a:extLst>
        </xdr:cNvPr>
        <xdr:cNvSpPr txBox="1">
          <a:spLocks noChangeArrowheads="1"/>
        </xdr:cNvSpPr>
      </xdr:nvSpPr>
      <xdr:spPr bwMode="auto">
        <a:xfrm>
          <a:off x="17973675" y="73380600"/>
          <a:ext cx="76200" cy="242615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6154"/>
    <xdr:sp macro="" textlink="">
      <xdr:nvSpPr>
        <xdr:cNvPr id="185" name="Text Box 619">
          <a:extLst>
            <a:ext uri="{FF2B5EF4-FFF2-40B4-BE49-F238E27FC236}">
              <a16:creationId xmlns="" xmlns:a16="http://schemas.microsoft.com/office/drawing/2014/main" id="{0A60C569-302C-49E6-A132-9D69A92A8B4B}"/>
            </a:ext>
          </a:extLst>
        </xdr:cNvPr>
        <xdr:cNvSpPr txBox="1">
          <a:spLocks noChangeArrowheads="1"/>
        </xdr:cNvSpPr>
      </xdr:nvSpPr>
      <xdr:spPr bwMode="auto">
        <a:xfrm>
          <a:off x="17973675" y="73380600"/>
          <a:ext cx="76200" cy="242615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6154"/>
    <xdr:sp macro="" textlink="">
      <xdr:nvSpPr>
        <xdr:cNvPr id="186" name="Text Box 620">
          <a:extLst>
            <a:ext uri="{FF2B5EF4-FFF2-40B4-BE49-F238E27FC236}">
              <a16:creationId xmlns="" xmlns:a16="http://schemas.microsoft.com/office/drawing/2014/main" id="{1BEE22A3-8747-4FA6-BA73-5B5962E4893D}"/>
            </a:ext>
          </a:extLst>
        </xdr:cNvPr>
        <xdr:cNvSpPr txBox="1">
          <a:spLocks noChangeArrowheads="1"/>
        </xdr:cNvSpPr>
      </xdr:nvSpPr>
      <xdr:spPr bwMode="auto">
        <a:xfrm>
          <a:off x="17973675" y="73380600"/>
          <a:ext cx="76200" cy="242615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58811"/>
    <xdr:sp macro="" textlink="">
      <xdr:nvSpPr>
        <xdr:cNvPr id="187" name="Text Box 43">
          <a:extLst>
            <a:ext uri="{FF2B5EF4-FFF2-40B4-BE49-F238E27FC236}">
              <a16:creationId xmlns="" xmlns:a16="http://schemas.microsoft.com/office/drawing/2014/main" id="{DF40EACA-1D08-4BD8-9850-F779FE600785}"/>
            </a:ext>
          </a:extLst>
        </xdr:cNvPr>
        <xdr:cNvSpPr txBox="1">
          <a:spLocks noChangeArrowheads="1"/>
        </xdr:cNvSpPr>
      </xdr:nvSpPr>
      <xdr:spPr bwMode="auto">
        <a:xfrm>
          <a:off x="17973675" y="73380600"/>
          <a:ext cx="76200" cy="24588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58811"/>
    <xdr:sp macro="" textlink="">
      <xdr:nvSpPr>
        <xdr:cNvPr id="188" name="Text Box 45">
          <a:extLst>
            <a:ext uri="{FF2B5EF4-FFF2-40B4-BE49-F238E27FC236}">
              <a16:creationId xmlns="" xmlns:a16="http://schemas.microsoft.com/office/drawing/2014/main" id="{ADFC5514-BF60-4669-A0AB-B3CCA9F64E92}"/>
            </a:ext>
          </a:extLst>
        </xdr:cNvPr>
        <xdr:cNvSpPr txBox="1">
          <a:spLocks noChangeArrowheads="1"/>
        </xdr:cNvSpPr>
      </xdr:nvSpPr>
      <xdr:spPr bwMode="auto">
        <a:xfrm>
          <a:off x="17973675" y="73380600"/>
          <a:ext cx="76200" cy="24588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58811"/>
    <xdr:sp macro="" textlink="">
      <xdr:nvSpPr>
        <xdr:cNvPr id="189" name="Text Box 47">
          <a:extLst>
            <a:ext uri="{FF2B5EF4-FFF2-40B4-BE49-F238E27FC236}">
              <a16:creationId xmlns="" xmlns:a16="http://schemas.microsoft.com/office/drawing/2014/main" id="{B0AD48D2-7734-4A31-A5B3-0FD9830EFBDD}"/>
            </a:ext>
          </a:extLst>
        </xdr:cNvPr>
        <xdr:cNvSpPr txBox="1">
          <a:spLocks noChangeArrowheads="1"/>
        </xdr:cNvSpPr>
      </xdr:nvSpPr>
      <xdr:spPr bwMode="auto">
        <a:xfrm>
          <a:off x="17973675" y="73380600"/>
          <a:ext cx="76200" cy="24588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58811"/>
    <xdr:sp macro="" textlink="">
      <xdr:nvSpPr>
        <xdr:cNvPr id="190" name="Text Box 48">
          <a:extLst>
            <a:ext uri="{FF2B5EF4-FFF2-40B4-BE49-F238E27FC236}">
              <a16:creationId xmlns="" xmlns:a16="http://schemas.microsoft.com/office/drawing/2014/main" id="{5AB7116E-FC2F-4BA2-97F1-5D4953797329}"/>
            </a:ext>
          </a:extLst>
        </xdr:cNvPr>
        <xdr:cNvSpPr txBox="1">
          <a:spLocks noChangeArrowheads="1"/>
        </xdr:cNvSpPr>
      </xdr:nvSpPr>
      <xdr:spPr bwMode="auto">
        <a:xfrm>
          <a:off x="17973675" y="73380600"/>
          <a:ext cx="76200" cy="24588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4186918"/>
    <xdr:sp macro="" textlink="">
      <xdr:nvSpPr>
        <xdr:cNvPr id="191" name="Text Box 803">
          <a:extLst>
            <a:ext uri="{FF2B5EF4-FFF2-40B4-BE49-F238E27FC236}">
              <a16:creationId xmlns="" xmlns:a16="http://schemas.microsoft.com/office/drawing/2014/main" id="{619088FA-AB97-4FF3-AD11-719A795DF0A4}"/>
            </a:ext>
          </a:extLst>
        </xdr:cNvPr>
        <xdr:cNvSpPr txBox="1">
          <a:spLocks noChangeArrowheads="1"/>
        </xdr:cNvSpPr>
      </xdr:nvSpPr>
      <xdr:spPr bwMode="auto">
        <a:xfrm>
          <a:off x="17973675" y="73380600"/>
          <a:ext cx="76200" cy="418691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61925"/>
    <xdr:sp macro="" textlink="">
      <xdr:nvSpPr>
        <xdr:cNvPr id="192" name="Text Box 804">
          <a:extLst>
            <a:ext uri="{FF2B5EF4-FFF2-40B4-BE49-F238E27FC236}">
              <a16:creationId xmlns="" xmlns:a16="http://schemas.microsoft.com/office/drawing/2014/main" id="{76EEA4C8-0F59-49DD-811C-5F136918AF79}"/>
            </a:ext>
          </a:extLst>
        </xdr:cNvPr>
        <xdr:cNvSpPr txBox="1">
          <a:spLocks noChangeArrowheads="1"/>
        </xdr:cNvSpPr>
      </xdr:nvSpPr>
      <xdr:spPr bwMode="auto">
        <a:xfrm>
          <a:off x="17973675" y="73380600"/>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52400"/>
    <xdr:sp macro="" textlink="">
      <xdr:nvSpPr>
        <xdr:cNvPr id="193" name="Text Box 804">
          <a:extLst>
            <a:ext uri="{FF2B5EF4-FFF2-40B4-BE49-F238E27FC236}">
              <a16:creationId xmlns="" xmlns:a16="http://schemas.microsoft.com/office/drawing/2014/main" id="{31713B54-44A9-4BF6-B211-43E92B12E572}"/>
            </a:ext>
          </a:extLst>
        </xdr:cNvPr>
        <xdr:cNvSpPr txBox="1">
          <a:spLocks noChangeArrowheads="1"/>
        </xdr:cNvSpPr>
      </xdr:nvSpPr>
      <xdr:spPr bwMode="auto">
        <a:xfrm>
          <a:off x="17973675" y="733806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194" name="Text Box 277747">
          <a:extLst>
            <a:ext uri="{FF2B5EF4-FFF2-40B4-BE49-F238E27FC236}">
              <a16:creationId xmlns="" xmlns:a16="http://schemas.microsoft.com/office/drawing/2014/main" id="{99C2521B-1D97-4628-8CEB-3C868AC49C46}"/>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195" name="Text Box 277748">
          <a:extLst>
            <a:ext uri="{FF2B5EF4-FFF2-40B4-BE49-F238E27FC236}">
              <a16:creationId xmlns="" xmlns:a16="http://schemas.microsoft.com/office/drawing/2014/main" id="{46F6FD71-0FB6-4D04-9918-E66AB7AB36F7}"/>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196" name="Text Box 277749">
          <a:extLst>
            <a:ext uri="{FF2B5EF4-FFF2-40B4-BE49-F238E27FC236}">
              <a16:creationId xmlns="" xmlns:a16="http://schemas.microsoft.com/office/drawing/2014/main" id="{5CAACFDE-4343-4641-898F-FF959BB0ACB8}"/>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197" name="Text Box 277750">
          <a:extLst>
            <a:ext uri="{FF2B5EF4-FFF2-40B4-BE49-F238E27FC236}">
              <a16:creationId xmlns="" xmlns:a16="http://schemas.microsoft.com/office/drawing/2014/main" id="{5B00B325-C552-4C9F-B9F9-417EA931F186}"/>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198" name="Text Box 277023">
          <a:extLst>
            <a:ext uri="{FF2B5EF4-FFF2-40B4-BE49-F238E27FC236}">
              <a16:creationId xmlns="" xmlns:a16="http://schemas.microsoft.com/office/drawing/2014/main" id="{A170DF07-8EFE-4427-8916-0F209362A479}"/>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199" name="Text Box 277024">
          <a:extLst>
            <a:ext uri="{FF2B5EF4-FFF2-40B4-BE49-F238E27FC236}">
              <a16:creationId xmlns="" xmlns:a16="http://schemas.microsoft.com/office/drawing/2014/main" id="{8458C1A0-4004-4BE4-856B-FD4C4A9C1B02}"/>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200" name="Text Box 277025">
          <a:extLst>
            <a:ext uri="{FF2B5EF4-FFF2-40B4-BE49-F238E27FC236}">
              <a16:creationId xmlns="" xmlns:a16="http://schemas.microsoft.com/office/drawing/2014/main" id="{5BB308B5-3F90-4777-BC20-D3EC80C0A8F7}"/>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201" name="Text Box 277026">
          <a:extLst>
            <a:ext uri="{FF2B5EF4-FFF2-40B4-BE49-F238E27FC236}">
              <a16:creationId xmlns="" xmlns:a16="http://schemas.microsoft.com/office/drawing/2014/main" id="{41051143-EE60-4236-B575-DF697188D4F4}"/>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02" name="Text Box 198">
          <a:extLst>
            <a:ext uri="{FF2B5EF4-FFF2-40B4-BE49-F238E27FC236}">
              <a16:creationId xmlns="" xmlns:a16="http://schemas.microsoft.com/office/drawing/2014/main" id="{F00853A1-C722-4B0E-B024-9E4EA83EED25}"/>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03" name="Text Box 199">
          <a:extLst>
            <a:ext uri="{FF2B5EF4-FFF2-40B4-BE49-F238E27FC236}">
              <a16:creationId xmlns="" xmlns:a16="http://schemas.microsoft.com/office/drawing/2014/main" id="{3DAEA2BE-5EC1-4A3A-9EEF-86E21E751154}"/>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04" name="Text Box 208">
          <a:extLst>
            <a:ext uri="{FF2B5EF4-FFF2-40B4-BE49-F238E27FC236}">
              <a16:creationId xmlns="" xmlns:a16="http://schemas.microsoft.com/office/drawing/2014/main" id="{D8E6F1C5-292B-4AAA-AB62-C1824517855E}"/>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05" name="Text Box 209">
          <a:extLst>
            <a:ext uri="{FF2B5EF4-FFF2-40B4-BE49-F238E27FC236}">
              <a16:creationId xmlns="" xmlns:a16="http://schemas.microsoft.com/office/drawing/2014/main" id="{90C6A320-2374-4998-A966-4046F1565EBF}"/>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06" name="Text Box 210">
          <a:extLst>
            <a:ext uri="{FF2B5EF4-FFF2-40B4-BE49-F238E27FC236}">
              <a16:creationId xmlns="" xmlns:a16="http://schemas.microsoft.com/office/drawing/2014/main" id="{FA73F7A1-6822-4A74-A07C-4E32DE1F96B8}"/>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07" name="Text Box 211">
          <a:extLst>
            <a:ext uri="{FF2B5EF4-FFF2-40B4-BE49-F238E27FC236}">
              <a16:creationId xmlns="" xmlns:a16="http://schemas.microsoft.com/office/drawing/2014/main" id="{E182737E-2069-442D-8BB0-B42BF7568911}"/>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08" name="Text Box 43">
          <a:extLst>
            <a:ext uri="{FF2B5EF4-FFF2-40B4-BE49-F238E27FC236}">
              <a16:creationId xmlns="" xmlns:a16="http://schemas.microsoft.com/office/drawing/2014/main" id="{4A4F3429-48ED-44EF-B690-CD635B0DFF62}"/>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09" name="Text Box 45">
          <a:extLst>
            <a:ext uri="{FF2B5EF4-FFF2-40B4-BE49-F238E27FC236}">
              <a16:creationId xmlns="" xmlns:a16="http://schemas.microsoft.com/office/drawing/2014/main" id="{6C9AA97A-C3B0-408B-82E7-C871DE570BBA}"/>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10" name="Text Box 47">
          <a:extLst>
            <a:ext uri="{FF2B5EF4-FFF2-40B4-BE49-F238E27FC236}">
              <a16:creationId xmlns="" xmlns:a16="http://schemas.microsoft.com/office/drawing/2014/main" id="{B0A08EA1-6F32-4949-B44F-7742DA2410CA}"/>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11" name="Text Box 48">
          <a:extLst>
            <a:ext uri="{FF2B5EF4-FFF2-40B4-BE49-F238E27FC236}">
              <a16:creationId xmlns="" xmlns:a16="http://schemas.microsoft.com/office/drawing/2014/main" id="{82E403F5-9B64-4C06-A42C-3283D4416905}"/>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12" name="Text Box 394">
          <a:extLst>
            <a:ext uri="{FF2B5EF4-FFF2-40B4-BE49-F238E27FC236}">
              <a16:creationId xmlns="" xmlns:a16="http://schemas.microsoft.com/office/drawing/2014/main" id="{01686044-AA2E-41E6-BF83-BAD83C46356F}"/>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13" name="Text Box 395">
          <a:extLst>
            <a:ext uri="{FF2B5EF4-FFF2-40B4-BE49-F238E27FC236}">
              <a16:creationId xmlns="" xmlns:a16="http://schemas.microsoft.com/office/drawing/2014/main" id="{009598C7-D246-4697-A2F5-A13873CC2B7D}"/>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14" name="Text Box 396">
          <a:extLst>
            <a:ext uri="{FF2B5EF4-FFF2-40B4-BE49-F238E27FC236}">
              <a16:creationId xmlns="" xmlns:a16="http://schemas.microsoft.com/office/drawing/2014/main" id="{9AE09EAF-B8C0-4AED-9EDB-34F8E820B6AF}"/>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15" name="Text Box 397">
          <a:extLst>
            <a:ext uri="{FF2B5EF4-FFF2-40B4-BE49-F238E27FC236}">
              <a16:creationId xmlns="" xmlns:a16="http://schemas.microsoft.com/office/drawing/2014/main" id="{E4DBCED8-ED83-41B3-9AB6-692DDD7A0220}"/>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16" name="Text Box 43">
          <a:extLst>
            <a:ext uri="{FF2B5EF4-FFF2-40B4-BE49-F238E27FC236}">
              <a16:creationId xmlns="" xmlns:a16="http://schemas.microsoft.com/office/drawing/2014/main" id="{6FA2DB27-3526-407B-A7A8-03FCEEA9C014}"/>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17" name="Text Box 45">
          <a:extLst>
            <a:ext uri="{FF2B5EF4-FFF2-40B4-BE49-F238E27FC236}">
              <a16:creationId xmlns="" xmlns:a16="http://schemas.microsoft.com/office/drawing/2014/main" id="{57EFC7A4-1837-41F3-8E0D-47A96F7E13A9}"/>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18" name="Text Box 47">
          <a:extLst>
            <a:ext uri="{FF2B5EF4-FFF2-40B4-BE49-F238E27FC236}">
              <a16:creationId xmlns="" xmlns:a16="http://schemas.microsoft.com/office/drawing/2014/main" id="{B2189525-220F-4C84-8AC8-987C18A88A5D}"/>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02997"/>
    <xdr:sp macro="" textlink="">
      <xdr:nvSpPr>
        <xdr:cNvPr id="219" name="Text Box 48">
          <a:extLst>
            <a:ext uri="{FF2B5EF4-FFF2-40B4-BE49-F238E27FC236}">
              <a16:creationId xmlns="" xmlns:a16="http://schemas.microsoft.com/office/drawing/2014/main" id="{A10BE796-5AA6-4419-86FB-E3321F8DF10E}"/>
            </a:ext>
          </a:extLst>
        </xdr:cNvPr>
        <xdr:cNvSpPr txBox="1">
          <a:spLocks noChangeArrowheads="1"/>
        </xdr:cNvSpPr>
      </xdr:nvSpPr>
      <xdr:spPr bwMode="auto">
        <a:xfrm>
          <a:off x="17973675"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128282"/>
    <xdr:sp macro="" textlink="">
      <xdr:nvSpPr>
        <xdr:cNvPr id="220" name="Text Box 607">
          <a:extLst>
            <a:ext uri="{FF2B5EF4-FFF2-40B4-BE49-F238E27FC236}">
              <a16:creationId xmlns="" xmlns:a16="http://schemas.microsoft.com/office/drawing/2014/main" id="{76E559AB-DC19-4A97-8482-8D78C76454E5}"/>
            </a:ext>
          </a:extLst>
        </xdr:cNvPr>
        <xdr:cNvSpPr txBox="1">
          <a:spLocks noChangeArrowheads="1"/>
        </xdr:cNvSpPr>
      </xdr:nvSpPr>
      <xdr:spPr bwMode="auto">
        <a:xfrm>
          <a:off x="17973675" y="73380600"/>
          <a:ext cx="76200" cy="31282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128282"/>
    <xdr:sp macro="" textlink="">
      <xdr:nvSpPr>
        <xdr:cNvPr id="221" name="Text Box 608">
          <a:extLst>
            <a:ext uri="{FF2B5EF4-FFF2-40B4-BE49-F238E27FC236}">
              <a16:creationId xmlns="" xmlns:a16="http://schemas.microsoft.com/office/drawing/2014/main" id="{AE830F08-476A-4EC3-91D9-03C5C3E41104}"/>
            </a:ext>
          </a:extLst>
        </xdr:cNvPr>
        <xdr:cNvSpPr txBox="1">
          <a:spLocks noChangeArrowheads="1"/>
        </xdr:cNvSpPr>
      </xdr:nvSpPr>
      <xdr:spPr bwMode="auto">
        <a:xfrm>
          <a:off x="17973675" y="73380600"/>
          <a:ext cx="76200" cy="31282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22" name="Text Box 617">
          <a:extLst>
            <a:ext uri="{FF2B5EF4-FFF2-40B4-BE49-F238E27FC236}">
              <a16:creationId xmlns="" xmlns:a16="http://schemas.microsoft.com/office/drawing/2014/main" id="{82F50BC9-0CEB-46D0-9B52-704FB5DBDBE9}"/>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23" name="Text Box 618">
          <a:extLst>
            <a:ext uri="{FF2B5EF4-FFF2-40B4-BE49-F238E27FC236}">
              <a16:creationId xmlns="" xmlns:a16="http://schemas.microsoft.com/office/drawing/2014/main" id="{3C10830C-038C-4370-8A0A-CD9F1A68C8AF}"/>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24" name="Text Box 619">
          <a:extLst>
            <a:ext uri="{FF2B5EF4-FFF2-40B4-BE49-F238E27FC236}">
              <a16:creationId xmlns="" xmlns:a16="http://schemas.microsoft.com/office/drawing/2014/main" id="{0942884C-16E1-47B7-ABF8-DA7DCB6CFD11}"/>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25" name="Text Box 620">
          <a:extLst>
            <a:ext uri="{FF2B5EF4-FFF2-40B4-BE49-F238E27FC236}">
              <a16:creationId xmlns="" xmlns:a16="http://schemas.microsoft.com/office/drawing/2014/main" id="{6E850F33-A924-430B-8CA8-2EC5B5E1CB0F}"/>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26" name="Text Box 43">
          <a:extLst>
            <a:ext uri="{FF2B5EF4-FFF2-40B4-BE49-F238E27FC236}">
              <a16:creationId xmlns="" xmlns:a16="http://schemas.microsoft.com/office/drawing/2014/main" id="{271E1BC2-C223-4696-9B4E-1F7FC44A4760}"/>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27" name="Text Box 45">
          <a:extLst>
            <a:ext uri="{FF2B5EF4-FFF2-40B4-BE49-F238E27FC236}">
              <a16:creationId xmlns="" xmlns:a16="http://schemas.microsoft.com/office/drawing/2014/main" id="{CAE24825-D248-40B1-9570-8ACC896CE07A}"/>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28" name="Text Box 47">
          <a:extLst>
            <a:ext uri="{FF2B5EF4-FFF2-40B4-BE49-F238E27FC236}">
              <a16:creationId xmlns="" xmlns:a16="http://schemas.microsoft.com/office/drawing/2014/main" id="{0610C132-C659-4E8D-9D79-7C89DE2E4E54}"/>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22047"/>
    <xdr:sp macro="" textlink="">
      <xdr:nvSpPr>
        <xdr:cNvPr id="229" name="Text Box 48">
          <a:extLst>
            <a:ext uri="{FF2B5EF4-FFF2-40B4-BE49-F238E27FC236}">
              <a16:creationId xmlns="" xmlns:a16="http://schemas.microsoft.com/office/drawing/2014/main" id="{1F2475A3-D2AE-4D49-BAF0-FA18AD3AC0E0}"/>
            </a:ext>
          </a:extLst>
        </xdr:cNvPr>
        <xdr:cNvSpPr txBox="1">
          <a:spLocks noChangeArrowheads="1"/>
        </xdr:cNvSpPr>
      </xdr:nvSpPr>
      <xdr:spPr bwMode="auto">
        <a:xfrm>
          <a:off x="17973675"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4020911"/>
    <xdr:sp macro="" textlink="">
      <xdr:nvSpPr>
        <xdr:cNvPr id="230" name="Text Box 803">
          <a:extLst>
            <a:ext uri="{FF2B5EF4-FFF2-40B4-BE49-F238E27FC236}">
              <a16:creationId xmlns="" xmlns:a16="http://schemas.microsoft.com/office/drawing/2014/main" id="{1797BAA2-99AA-4F95-9353-E0BF5F33CB9F}"/>
            </a:ext>
          </a:extLst>
        </xdr:cNvPr>
        <xdr:cNvSpPr txBox="1">
          <a:spLocks noChangeArrowheads="1"/>
        </xdr:cNvSpPr>
      </xdr:nvSpPr>
      <xdr:spPr bwMode="auto">
        <a:xfrm>
          <a:off x="17973675" y="73380600"/>
          <a:ext cx="76200" cy="4020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52400"/>
    <xdr:sp macro="" textlink="">
      <xdr:nvSpPr>
        <xdr:cNvPr id="231" name="Text Box 804">
          <a:extLst>
            <a:ext uri="{FF2B5EF4-FFF2-40B4-BE49-F238E27FC236}">
              <a16:creationId xmlns="" xmlns:a16="http://schemas.microsoft.com/office/drawing/2014/main" id="{EA56E440-1730-4BA0-93D7-73147ED6A962}"/>
            </a:ext>
          </a:extLst>
        </xdr:cNvPr>
        <xdr:cNvSpPr txBox="1">
          <a:spLocks noChangeArrowheads="1"/>
        </xdr:cNvSpPr>
      </xdr:nvSpPr>
      <xdr:spPr bwMode="auto">
        <a:xfrm>
          <a:off x="17973675" y="733806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52400"/>
    <xdr:sp macro="" textlink="">
      <xdr:nvSpPr>
        <xdr:cNvPr id="232" name="Text Box 804">
          <a:extLst>
            <a:ext uri="{FF2B5EF4-FFF2-40B4-BE49-F238E27FC236}">
              <a16:creationId xmlns="" xmlns:a16="http://schemas.microsoft.com/office/drawing/2014/main" id="{89DCF35F-2AB6-424C-BA08-B6B118E48052}"/>
            </a:ext>
          </a:extLst>
        </xdr:cNvPr>
        <xdr:cNvSpPr txBox="1">
          <a:spLocks noChangeArrowheads="1"/>
        </xdr:cNvSpPr>
      </xdr:nvSpPr>
      <xdr:spPr bwMode="auto">
        <a:xfrm>
          <a:off x="17973675" y="733806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233" name="Text Box 277747">
          <a:extLst>
            <a:ext uri="{FF2B5EF4-FFF2-40B4-BE49-F238E27FC236}">
              <a16:creationId xmlns="" xmlns:a16="http://schemas.microsoft.com/office/drawing/2014/main" id="{E3ADA305-3F1A-415F-9596-C337D96C71D0}"/>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234" name="Text Box 277748">
          <a:extLst>
            <a:ext uri="{FF2B5EF4-FFF2-40B4-BE49-F238E27FC236}">
              <a16:creationId xmlns="" xmlns:a16="http://schemas.microsoft.com/office/drawing/2014/main" id="{7D7F0700-CD37-447A-B4A6-8F74CC651DF8}"/>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235" name="Text Box 277749">
          <a:extLst>
            <a:ext uri="{FF2B5EF4-FFF2-40B4-BE49-F238E27FC236}">
              <a16:creationId xmlns="" xmlns:a16="http://schemas.microsoft.com/office/drawing/2014/main" id="{D6B718BE-1491-44C6-8295-C10A3D559A50}"/>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236" name="Text Box 277750">
          <a:extLst>
            <a:ext uri="{FF2B5EF4-FFF2-40B4-BE49-F238E27FC236}">
              <a16:creationId xmlns="" xmlns:a16="http://schemas.microsoft.com/office/drawing/2014/main" id="{487BFECC-ED4E-428D-9968-624F3269D973}"/>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37" name="Text Box 47">
          <a:extLst>
            <a:ext uri="{FF2B5EF4-FFF2-40B4-BE49-F238E27FC236}">
              <a16:creationId xmlns="" xmlns:a16="http://schemas.microsoft.com/office/drawing/2014/main" id="{BDBD9232-D340-4BD4-AFF2-E1FCB56B7480}"/>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38" name="Text Box 48">
          <a:extLst>
            <a:ext uri="{FF2B5EF4-FFF2-40B4-BE49-F238E27FC236}">
              <a16:creationId xmlns="" xmlns:a16="http://schemas.microsoft.com/office/drawing/2014/main" id="{F1F36FF5-383F-40FB-A3D9-456549A1777A}"/>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39" name="Text Box 49">
          <a:extLst>
            <a:ext uri="{FF2B5EF4-FFF2-40B4-BE49-F238E27FC236}">
              <a16:creationId xmlns="" xmlns:a16="http://schemas.microsoft.com/office/drawing/2014/main" id="{9B2151B4-B1CF-4CF0-9525-4D169C93D722}"/>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40" name="Text Box 50">
          <a:extLst>
            <a:ext uri="{FF2B5EF4-FFF2-40B4-BE49-F238E27FC236}">
              <a16:creationId xmlns="" xmlns:a16="http://schemas.microsoft.com/office/drawing/2014/main" id="{92FEF09E-65BA-445B-9694-96FC4EA24ADC}"/>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41" name="Text Box 70">
          <a:extLst>
            <a:ext uri="{FF2B5EF4-FFF2-40B4-BE49-F238E27FC236}">
              <a16:creationId xmlns="" xmlns:a16="http://schemas.microsoft.com/office/drawing/2014/main" id="{EC974AF7-7A3D-472C-8B8D-9270B46D4D7C}"/>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42" name="Text Box 71">
          <a:extLst>
            <a:ext uri="{FF2B5EF4-FFF2-40B4-BE49-F238E27FC236}">
              <a16:creationId xmlns="" xmlns:a16="http://schemas.microsoft.com/office/drawing/2014/main" id="{2B7927F2-61FC-4286-B80F-E8D3BA5885D8}"/>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43" name="Text Box 72">
          <a:extLst>
            <a:ext uri="{FF2B5EF4-FFF2-40B4-BE49-F238E27FC236}">
              <a16:creationId xmlns="" xmlns:a16="http://schemas.microsoft.com/office/drawing/2014/main" id="{040AE7BB-0833-4042-AE6F-11482030FAE4}"/>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44" name="Text Box 73">
          <a:extLst>
            <a:ext uri="{FF2B5EF4-FFF2-40B4-BE49-F238E27FC236}">
              <a16:creationId xmlns="" xmlns:a16="http://schemas.microsoft.com/office/drawing/2014/main" id="{5FB27B0A-56CD-474C-ACE4-F0502C928739}"/>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245" name="Text Box 19">
          <a:extLst>
            <a:ext uri="{FF2B5EF4-FFF2-40B4-BE49-F238E27FC236}">
              <a16:creationId xmlns="" xmlns:a16="http://schemas.microsoft.com/office/drawing/2014/main" id="{2F3E1FDF-7B62-4F26-8578-E560421440D5}"/>
            </a:ext>
          </a:extLst>
        </xdr:cNvPr>
        <xdr:cNvSpPr txBox="1">
          <a:spLocks noChangeArrowheads="1"/>
        </xdr:cNvSpPr>
      </xdr:nvSpPr>
      <xdr:spPr bwMode="auto">
        <a:xfrm>
          <a:off x="20088225"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246" name="Text Box 20">
          <a:extLst>
            <a:ext uri="{FF2B5EF4-FFF2-40B4-BE49-F238E27FC236}">
              <a16:creationId xmlns="" xmlns:a16="http://schemas.microsoft.com/office/drawing/2014/main" id="{9F04D15E-0279-4E4F-B8AD-5DC1A6ABA7B2}"/>
            </a:ext>
          </a:extLst>
        </xdr:cNvPr>
        <xdr:cNvSpPr txBox="1">
          <a:spLocks noChangeArrowheads="1"/>
        </xdr:cNvSpPr>
      </xdr:nvSpPr>
      <xdr:spPr bwMode="auto">
        <a:xfrm>
          <a:off x="20088225"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47" name="Text Box 21">
          <a:extLst>
            <a:ext uri="{FF2B5EF4-FFF2-40B4-BE49-F238E27FC236}">
              <a16:creationId xmlns="" xmlns:a16="http://schemas.microsoft.com/office/drawing/2014/main" id="{567EDFD7-8815-4CEB-8E03-9A16D86A4736}"/>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48" name="Text Box 22">
          <a:extLst>
            <a:ext uri="{FF2B5EF4-FFF2-40B4-BE49-F238E27FC236}">
              <a16:creationId xmlns="" xmlns:a16="http://schemas.microsoft.com/office/drawing/2014/main" id="{81FA8684-4C17-44D1-BEBE-528AD5A65657}"/>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49" name="Text Box 23">
          <a:extLst>
            <a:ext uri="{FF2B5EF4-FFF2-40B4-BE49-F238E27FC236}">
              <a16:creationId xmlns="" xmlns:a16="http://schemas.microsoft.com/office/drawing/2014/main" id="{1A781C56-3EAF-40BB-9004-9DBC4C7326B1}"/>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50" name="Text Box 24">
          <a:extLst>
            <a:ext uri="{FF2B5EF4-FFF2-40B4-BE49-F238E27FC236}">
              <a16:creationId xmlns="" xmlns:a16="http://schemas.microsoft.com/office/drawing/2014/main" id="{276317EE-6067-4C89-805F-7ABF203FC463}"/>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51" name="Text Box 25">
          <a:extLst>
            <a:ext uri="{FF2B5EF4-FFF2-40B4-BE49-F238E27FC236}">
              <a16:creationId xmlns="" xmlns:a16="http://schemas.microsoft.com/office/drawing/2014/main" id="{2BE08E33-2E65-4912-A8D1-C3E133A3C52E}"/>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52" name="Text Box 26">
          <a:extLst>
            <a:ext uri="{FF2B5EF4-FFF2-40B4-BE49-F238E27FC236}">
              <a16:creationId xmlns="" xmlns:a16="http://schemas.microsoft.com/office/drawing/2014/main" id="{110E7569-4BA8-4703-A8CF-38877F0178F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53" name="Text Box 27">
          <a:extLst>
            <a:ext uri="{FF2B5EF4-FFF2-40B4-BE49-F238E27FC236}">
              <a16:creationId xmlns="" xmlns:a16="http://schemas.microsoft.com/office/drawing/2014/main" id="{1597FFC0-AC6F-4BD2-A332-EBE1E065F6C7}"/>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54" name="Text Box 28">
          <a:extLst>
            <a:ext uri="{FF2B5EF4-FFF2-40B4-BE49-F238E27FC236}">
              <a16:creationId xmlns="" xmlns:a16="http://schemas.microsoft.com/office/drawing/2014/main" id="{F6D7BCE3-E5FB-4243-BB0F-4233678DB1E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55" name="Text Box 29">
          <a:extLst>
            <a:ext uri="{FF2B5EF4-FFF2-40B4-BE49-F238E27FC236}">
              <a16:creationId xmlns="" xmlns:a16="http://schemas.microsoft.com/office/drawing/2014/main" id="{0222C22D-483E-4825-AACA-BF7A5F9D59D6}"/>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56" name="Text Box 30">
          <a:extLst>
            <a:ext uri="{FF2B5EF4-FFF2-40B4-BE49-F238E27FC236}">
              <a16:creationId xmlns="" xmlns:a16="http://schemas.microsoft.com/office/drawing/2014/main" id="{70C54AC5-3745-46F9-A043-1154227B06A8}"/>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57" name="Text Box 31">
          <a:extLst>
            <a:ext uri="{FF2B5EF4-FFF2-40B4-BE49-F238E27FC236}">
              <a16:creationId xmlns="" xmlns:a16="http://schemas.microsoft.com/office/drawing/2014/main" id="{BCEAADEE-5491-4F50-9855-00BEFE96ADFC}"/>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58" name="Text Box 32">
          <a:extLst>
            <a:ext uri="{FF2B5EF4-FFF2-40B4-BE49-F238E27FC236}">
              <a16:creationId xmlns="" xmlns:a16="http://schemas.microsoft.com/office/drawing/2014/main" id="{36208140-CCE9-4EF9-88E3-5C8A803F7B6E}"/>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59" name="Text Box 33">
          <a:extLst>
            <a:ext uri="{FF2B5EF4-FFF2-40B4-BE49-F238E27FC236}">
              <a16:creationId xmlns="" xmlns:a16="http://schemas.microsoft.com/office/drawing/2014/main" id="{0BF4D2C7-DAC6-456C-8D60-5406B84DC5D9}"/>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60" name="Text Box 34">
          <a:extLst>
            <a:ext uri="{FF2B5EF4-FFF2-40B4-BE49-F238E27FC236}">
              <a16:creationId xmlns="" xmlns:a16="http://schemas.microsoft.com/office/drawing/2014/main" id="{1993D6E3-50E1-497E-A598-15687EC1E0C5}"/>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261" name="Text Box 35">
          <a:extLst>
            <a:ext uri="{FF2B5EF4-FFF2-40B4-BE49-F238E27FC236}">
              <a16:creationId xmlns="" xmlns:a16="http://schemas.microsoft.com/office/drawing/2014/main" id="{0D6A6948-B15C-48F7-9AF6-B37C56603095}"/>
            </a:ext>
          </a:extLst>
        </xdr:cNvPr>
        <xdr:cNvSpPr txBox="1">
          <a:spLocks noChangeArrowheads="1"/>
        </xdr:cNvSpPr>
      </xdr:nvSpPr>
      <xdr:spPr bwMode="auto">
        <a:xfrm>
          <a:off x="2008822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262" name="Text Box 36">
          <a:extLst>
            <a:ext uri="{FF2B5EF4-FFF2-40B4-BE49-F238E27FC236}">
              <a16:creationId xmlns="" xmlns:a16="http://schemas.microsoft.com/office/drawing/2014/main" id="{7B5D546E-63D7-48F6-A568-33C17B5F652C}"/>
            </a:ext>
          </a:extLst>
        </xdr:cNvPr>
        <xdr:cNvSpPr txBox="1">
          <a:spLocks noChangeArrowheads="1"/>
        </xdr:cNvSpPr>
      </xdr:nvSpPr>
      <xdr:spPr bwMode="auto">
        <a:xfrm>
          <a:off x="2008822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63" name="Text Box 37">
          <a:extLst>
            <a:ext uri="{FF2B5EF4-FFF2-40B4-BE49-F238E27FC236}">
              <a16:creationId xmlns="" xmlns:a16="http://schemas.microsoft.com/office/drawing/2014/main" id="{2C385C18-252F-4EA9-B768-E8B4CACA1A0D}"/>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64" name="Text Box 38">
          <a:extLst>
            <a:ext uri="{FF2B5EF4-FFF2-40B4-BE49-F238E27FC236}">
              <a16:creationId xmlns="" xmlns:a16="http://schemas.microsoft.com/office/drawing/2014/main" id="{89DE104E-5111-43DA-A93C-5DDDC12FB82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65" name="Text Box 39">
          <a:extLst>
            <a:ext uri="{FF2B5EF4-FFF2-40B4-BE49-F238E27FC236}">
              <a16:creationId xmlns="" xmlns:a16="http://schemas.microsoft.com/office/drawing/2014/main" id="{128A510E-6EE8-4383-BB74-54568156AA3D}"/>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66" name="Text Box 40">
          <a:extLst>
            <a:ext uri="{FF2B5EF4-FFF2-40B4-BE49-F238E27FC236}">
              <a16:creationId xmlns="" xmlns:a16="http://schemas.microsoft.com/office/drawing/2014/main" id="{43A4B64B-6298-44C6-A354-7E55467D133B}"/>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67" name="Text Box 41">
          <a:extLst>
            <a:ext uri="{FF2B5EF4-FFF2-40B4-BE49-F238E27FC236}">
              <a16:creationId xmlns="" xmlns:a16="http://schemas.microsoft.com/office/drawing/2014/main" id="{43AF0D43-E2C1-4386-926E-243C6D16187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68" name="Text Box 42">
          <a:extLst>
            <a:ext uri="{FF2B5EF4-FFF2-40B4-BE49-F238E27FC236}">
              <a16:creationId xmlns="" xmlns:a16="http://schemas.microsoft.com/office/drawing/2014/main" id="{E6AF8524-1F51-4874-AF4D-772025B19F57}"/>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69" name="Text Box 43">
          <a:extLst>
            <a:ext uri="{FF2B5EF4-FFF2-40B4-BE49-F238E27FC236}">
              <a16:creationId xmlns="" xmlns:a16="http://schemas.microsoft.com/office/drawing/2014/main" id="{ADF7FE9D-58AC-4AC3-B538-591FD8BFC48D}"/>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70" name="Text Box 44">
          <a:extLst>
            <a:ext uri="{FF2B5EF4-FFF2-40B4-BE49-F238E27FC236}">
              <a16:creationId xmlns="" xmlns:a16="http://schemas.microsoft.com/office/drawing/2014/main" id="{3A7F683D-61A2-44FE-A24C-E28B3F261BC1}"/>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71" name="Text Box 45">
          <a:extLst>
            <a:ext uri="{FF2B5EF4-FFF2-40B4-BE49-F238E27FC236}">
              <a16:creationId xmlns="" xmlns:a16="http://schemas.microsoft.com/office/drawing/2014/main" id="{73E19E95-718B-41B4-BF2E-2FA3EC16243D}"/>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72" name="Text Box 46">
          <a:extLst>
            <a:ext uri="{FF2B5EF4-FFF2-40B4-BE49-F238E27FC236}">
              <a16:creationId xmlns="" xmlns:a16="http://schemas.microsoft.com/office/drawing/2014/main" id="{3777A8DA-5CFA-4E0C-AE93-3F457993BAF7}"/>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73" name="Text Box 47">
          <a:extLst>
            <a:ext uri="{FF2B5EF4-FFF2-40B4-BE49-F238E27FC236}">
              <a16:creationId xmlns="" xmlns:a16="http://schemas.microsoft.com/office/drawing/2014/main" id="{27E104F4-F9D5-4F6F-A672-F327A53ECECA}"/>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74" name="Text Box 48">
          <a:extLst>
            <a:ext uri="{FF2B5EF4-FFF2-40B4-BE49-F238E27FC236}">
              <a16:creationId xmlns="" xmlns:a16="http://schemas.microsoft.com/office/drawing/2014/main" id="{22CD625E-206F-4B41-8E5D-31405228AE0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75" name="Text Box 49">
          <a:extLst>
            <a:ext uri="{FF2B5EF4-FFF2-40B4-BE49-F238E27FC236}">
              <a16:creationId xmlns="" xmlns:a16="http://schemas.microsoft.com/office/drawing/2014/main" id="{BB1E0BF2-AF2D-4A40-8346-9FA146B738DB}"/>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76" name="Text Box 50">
          <a:extLst>
            <a:ext uri="{FF2B5EF4-FFF2-40B4-BE49-F238E27FC236}">
              <a16:creationId xmlns="" xmlns:a16="http://schemas.microsoft.com/office/drawing/2014/main" id="{5FC47218-84A4-4673-94E7-1760BE8E37EE}"/>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277" name="Text Box 51">
          <a:extLst>
            <a:ext uri="{FF2B5EF4-FFF2-40B4-BE49-F238E27FC236}">
              <a16:creationId xmlns="" xmlns:a16="http://schemas.microsoft.com/office/drawing/2014/main" id="{EB15AD16-BCD4-46D6-930D-10F433F9BA10}"/>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278" name="Text Box 52">
          <a:extLst>
            <a:ext uri="{FF2B5EF4-FFF2-40B4-BE49-F238E27FC236}">
              <a16:creationId xmlns="" xmlns:a16="http://schemas.microsoft.com/office/drawing/2014/main" id="{3260D5C7-F063-4E1C-97A4-F308E8C9819E}"/>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279" name="Text Box 53">
          <a:extLst>
            <a:ext uri="{FF2B5EF4-FFF2-40B4-BE49-F238E27FC236}">
              <a16:creationId xmlns="" xmlns:a16="http://schemas.microsoft.com/office/drawing/2014/main" id="{27B36671-1ACA-408E-88F8-7C9BD0A2EE29}"/>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280" name="Text Box 54">
          <a:extLst>
            <a:ext uri="{FF2B5EF4-FFF2-40B4-BE49-F238E27FC236}">
              <a16:creationId xmlns="" xmlns:a16="http://schemas.microsoft.com/office/drawing/2014/main" id="{2221A057-39E9-44F4-9DFB-9112646E0D60}"/>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81" name="Text Box 55">
          <a:extLst>
            <a:ext uri="{FF2B5EF4-FFF2-40B4-BE49-F238E27FC236}">
              <a16:creationId xmlns="" xmlns:a16="http://schemas.microsoft.com/office/drawing/2014/main" id="{CCB0B36E-B1CC-44CA-9AFE-430AB8477A63}"/>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82" name="Text Box 56">
          <a:extLst>
            <a:ext uri="{FF2B5EF4-FFF2-40B4-BE49-F238E27FC236}">
              <a16:creationId xmlns="" xmlns:a16="http://schemas.microsoft.com/office/drawing/2014/main" id="{5263067F-F39C-4F62-B603-C774B6F2D6F6}"/>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283" name="Text Box 57">
          <a:extLst>
            <a:ext uri="{FF2B5EF4-FFF2-40B4-BE49-F238E27FC236}">
              <a16:creationId xmlns="" xmlns:a16="http://schemas.microsoft.com/office/drawing/2014/main" id="{116E153E-07C7-41B0-8C4C-34A17F3DB3C7}"/>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284" name="Text Box 58">
          <a:extLst>
            <a:ext uri="{FF2B5EF4-FFF2-40B4-BE49-F238E27FC236}">
              <a16:creationId xmlns="" xmlns:a16="http://schemas.microsoft.com/office/drawing/2014/main" id="{8769AB13-1C56-4267-93B3-291A2DBDF4F7}"/>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85" name="Text Box 59">
          <a:extLst>
            <a:ext uri="{FF2B5EF4-FFF2-40B4-BE49-F238E27FC236}">
              <a16:creationId xmlns="" xmlns:a16="http://schemas.microsoft.com/office/drawing/2014/main" id="{0B3041F4-9B62-4013-911C-4A274EEF8A1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86" name="Text Box 60">
          <a:extLst>
            <a:ext uri="{FF2B5EF4-FFF2-40B4-BE49-F238E27FC236}">
              <a16:creationId xmlns="" xmlns:a16="http://schemas.microsoft.com/office/drawing/2014/main" id="{B44FD066-61C3-4524-954E-9072BDBD67E0}"/>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87" name="Text Box 61">
          <a:extLst>
            <a:ext uri="{FF2B5EF4-FFF2-40B4-BE49-F238E27FC236}">
              <a16:creationId xmlns="" xmlns:a16="http://schemas.microsoft.com/office/drawing/2014/main" id="{33B15383-21ED-470E-B3BC-779867C33C3D}"/>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88" name="Text Box 62">
          <a:extLst>
            <a:ext uri="{FF2B5EF4-FFF2-40B4-BE49-F238E27FC236}">
              <a16:creationId xmlns="" xmlns:a16="http://schemas.microsoft.com/office/drawing/2014/main" id="{6DEEF70E-FBCF-486E-B9D6-AEC82A95088D}"/>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89" name="Text Box 63">
          <a:extLst>
            <a:ext uri="{FF2B5EF4-FFF2-40B4-BE49-F238E27FC236}">
              <a16:creationId xmlns="" xmlns:a16="http://schemas.microsoft.com/office/drawing/2014/main" id="{B65928E6-F8B5-447E-97E5-82D29512C37A}"/>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290" name="Text Box 64">
          <a:extLst>
            <a:ext uri="{FF2B5EF4-FFF2-40B4-BE49-F238E27FC236}">
              <a16:creationId xmlns="" xmlns:a16="http://schemas.microsoft.com/office/drawing/2014/main" id="{4CC2C81B-3FDE-48DF-99D3-0D0498D9D7DE}"/>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1925"/>
    <xdr:sp macro="" textlink="">
      <xdr:nvSpPr>
        <xdr:cNvPr id="291" name="Text Box 65">
          <a:extLst>
            <a:ext uri="{FF2B5EF4-FFF2-40B4-BE49-F238E27FC236}">
              <a16:creationId xmlns="" xmlns:a16="http://schemas.microsoft.com/office/drawing/2014/main" id="{EA50FED4-1F11-4F17-99F5-FE63EDE6FC6F}"/>
            </a:ext>
          </a:extLst>
        </xdr:cNvPr>
        <xdr:cNvSpPr txBox="1">
          <a:spLocks noChangeArrowheads="1"/>
        </xdr:cNvSpPr>
      </xdr:nvSpPr>
      <xdr:spPr bwMode="auto">
        <a:xfrm>
          <a:off x="20088225"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1925"/>
    <xdr:sp macro="" textlink="">
      <xdr:nvSpPr>
        <xdr:cNvPr id="292" name="Text Box 66">
          <a:extLst>
            <a:ext uri="{FF2B5EF4-FFF2-40B4-BE49-F238E27FC236}">
              <a16:creationId xmlns="" xmlns:a16="http://schemas.microsoft.com/office/drawing/2014/main" id="{574D6EE5-8AD2-45AB-A223-B504D4369FA5}"/>
            </a:ext>
          </a:extLst>
        </xdr:cNvPr>
        <xdr:cNvSpPr txBox="1">
          <a:spLocks noChangeArrowheads="1"/>
        </xdr:cNvSpPr>
      </xdr:nvSpPr>
      <xdr:spPr bwMode="auto">
        <a:xfrm>
          <a:off x="20088225"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293" name="Text Box 67">
          <a:extLst>
            <a:ext uri="{FF2B5EF4-FFF2-40B4-BE49-F238E27FC236}">
              <a16:creationId xmlns="" xmlns:a16="http://schemas.microsoft.com/office/drawing/2014/main" id="{D5F49E77-EB10-4C1E-884D-17B437D0D9F2}"/>
            </a:ext>
          </a:extLst>
        </xdr:cNvPr>
        <xdr:cNvSpPr txBox="1">
          <a:spLocks noChangeArrowheads="1"/>
        </xdr:cNvSpPr>
      </xdr:nvSpPr>
      <xdr:spPr bwMode="auto">
        <a:xfrm>
          <a:off x="20088225"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294" name="Text Box 68">
          <a:extLst>
            <a:ext uri="{FF2B5EF4-FFF2-40B4-BE49-F238E27FC236}">
              <a16:creationId xmlns="" xmlns:a16="http://schemas.microsoft.com/office/drawing/2014/main" id="{2F99FC8B-669A-43D9-989F-00A0447E59C1}"/>
            </a:ext>
          </a:extLst>
        </xdr:cNvPr>
        <xdr:cNvSpPr txBox="1">
          <a:spLocks noChangeArrowheads="1"/>
        </xdr:cNvSpPr>
      </xdr:nvSpPr>
      <xdr:spPr bwMode="auto">
        <a:xfrm>
          <a:off x="20088225"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295" name="Text Box 69">
          <a:extLst>
            <a:ext uri="{FF2B5EF4-FFF2-40B4-BE49-F238E27FC236}">
              <a16:creationId xmlns="" xmlns:a16="http://schemas.microsoft.com/office/drawing/2014/main" id="{461395BD-E3A4-45E9-9A47-CD1005F806CA}"/>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296" name="Text Box 70">
          <a:extLst>
            <a:ext uri="{FF2B5EF4-FFF2-40B4-BE49-F238E27FC236}">
              <a16:creationId xmlns="" xmlns:a16="http://schemas.microsoft.com/office/drawing/2014/main" id="{545B5A74-8C5C-4825-BC6D-08A19FBDBD1D}"/>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297" name="Text Box 71">
          <a:extLst>
            <a:ext uri="{FF2B5EF4-FFF2-40B4-BE49-F238E27FC236}">
              <a16:creationId xmlns="" xmlns:a16="http://schemas.microsoft.com/office/drawing/2014/main" id="{16283D5E-D6CF-4997-838E-A2B1D685D39E}"/>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298" name="Text Box 72">
          <a:extLst>
            <a:ext uri="{FF2B5EF4-FFF2-40B4-BE49-F238E27FC236}">
              <a16:creationId xmlns="" xmlns:a16="http://schemas.microsoft.com/office/drawing/2014/main" id="{62B52961-9C7D-44D9-A89C-EBCBEF81B97E}"/>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299" name="Text Box 73">
          <a:extLst>
            <a:ext uri="{FF2B5EF4-FFF2-40B4-BE49-F238E27FC236}">
              <a16:creationId xmlns="" xmlns:a16="http://schemas.microsoft.com/office/drawing/2014/main" id="{F66BEAB3-AB32-4266-8096-A1D88EB023F2}"/>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00" name="Text Box 74">
          <a:extLst>
            <a:ext uri="{FF2B5EF4-FFF2-40B4-BE49-F238E27FC236}">
              <a16:creationId xmlns="" xmlns:a16="http://schemas.microsoft.com/office/drawing/2014/main" id="{07A3EEBE-D49A-4A9D-B80A-51BF0114D030}"/>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01" name="Text Box 75">
          <a:extLst>
            <a:ext uri="{FF2B5EF4-FFF2-40B4-BE49-F238E27FC236}">
              <a16:creationId xmlns="" xmlns:a16="http://schemas.microsoft.com/office/drawing/2014/main" id="{F547931B-3495-4A65-866D-FD3251FA26D5}"/>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02" name="Text Box 76">
          <a:extLst>
            <a:ext uri="{FF2B5EF4-FFF2-40B4-BE49-F238E27FC236}">
              <a16:creationId xmlns="" xmlns:a16="http://schemas.microsoft.com/office/drawing/2014/main" id="{C44D1964-502F-41EB-A4B3-9F61382BB156}"/>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03" name="Text Box 77">
          <a:extLst>
            <a:ext uri="{FF2B5EF4-FFF2-40B4-BE49-F238E27FC236}">
              <a16:creationId xmlns="" xmlns:a16="http://schemas.microsoft.com/office/drawing/2014/main" id="{69BE55AF-9C12-4135-9F96-C6B6C344FBE4}"/>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04" name="Text Box 78">
          <a:extLst>
            <a:ext uri="{FF2B5EF4-FFF2-40B4-BE49-F238E27FC236}">
              <a16:creationId xmlns="" xmlns:a16="http://schemas.microsoft.com/office/drawing/2014/main" id="{B6E83A53-3EB2-420D-A5CE-270335039EFA}"/>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05" name="Text Box 79">
          <a:extLst>
            <a:ext uri="{FF2B5EF4-FFF2-40B4-BE49-F238E27FC236}">
              <a16:creationId xmlns="" xmlns:a16="http://schemas.microsoft.com/office/drawing/2014/main" id="{80E7D650-E7D7-429E-B032-AAFC66E5B888}"/>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06" name="Text Box 80">
          <a:extLst>
            <a:ext uri="{FF2B5EF4-FFF2-40B4-BE49-F238E27FC236}">
              <a16:creationId xmlns="" xmlns:a16="http://schemas.microsoft.com/office/drawing/2014/main" id="{112E5072-E1F5-4113-931B-B8885611CE73}"/>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07" name="Text Box 83">
          <a:extLst>
            <a:ext uri="{FF2B5EF4-FFF2-40B4-BE49-F238E27FC236}">
              <a16:creationId xmlns="" xmlns:a16="http://schemas.microsoft.com/office/drawing/2014/main" id="{64095464-3AF5-4C3A-9CAE-7B9663B5C7FC}"/>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08" name="Text Box 84">
          <a:extLst>
            <a:ext uri="{FF2B5EF4-FFF2-40B4-BE49-F238E27FC236}">
              <a16:creationId xmlns="" xmlns:a16="http://schemas.microsoft.com/office/drawing/2014/main" id="{19606E47-61E8-43F9-B8C6-B646F811915E}"/>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09" name="Text Box 85">
          <a:extLst>
            <a:ext uri="{FF2B5EF4-FFF2-40B4-BE49-F238E27FC236}">
              <a16:creationId xmlns="" xmlns:a16="http://schemas.microsoft.com/office/drawing/2014/main" id="{FBFAEFE2-A7D3-491A-A7B7-701788EA7E79}"/>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10" name="Text Box 86">
          <a:extLst>
            <a:ext uri="{FF2B5EF4-FFF2-40B4-BE49-F238E27FC236}">
              <a16:creationId xmlns="" xmlns:a16="http://schemas.microsoft.com/office/drawing/2014/main" id="{7F46FE27-4497-4FBC-AFB3-DF726D53A4FC}"/>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11" name="Text Box 93">
          <a:extLst>
            <a:ext uri="{FF2B5EF4-FFF2-40B4-BE49-F238E27FC236}">
              <a16:creationId xmlns="" xmlns:a16="http://schemas.microsoft.com/office/drawing/2014/main" id="{8CE333DD-14DF-4099-A769-7D2557A0D08A}"/>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12" name="Text Box 94">
          <a:extLst>
            <a:ext uri="{FF2B5EF4-FFF2-40B4-BE49-F238E27FC236}">
              <a16:creationId xmlns="" xmlns:a16="http://schemas.microsoft.com/office/drawing/2014/main" id="{B07B4B56-9A48-4099-9C4E-76B1C9A3412A}"/>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13" name="Text Box 95">
          <a:extLst>
            <a:ext uri="{FF2B5EF4-FFF2-40B4-BE49-F238E27FC236}">
              <a16:creationId xmlns="" xmlns:a16="http://schemas.microsoft.com/office/drawing/2014/main" id="{BF4DF9BA-3C43-4B3C-AE2D-82549F92703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14" name="Text Box 96">
          <a:extLst>
            <a:ext uri="{FF2B5EF4-FFF2-40B4-BE49-F238E27FC236}">
              <a16:creationId xmlns="" xmlns:a16="http://schemas.microsoft.com/office/drawing/2014/main" id="{7AFAFCA2-8C3B-4489-94DF-FC79C5DEDBB3}"/>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315" name="Text Box 97">
          <a:extLst>
            <a:ext uri="{FF2B5EF4-FFF2-40B4-BE49-F238E27FC236}">
              <a16:creationId xmlns="" xmlns:a16="http://schemas.microsoft.com/office/drawing/2014/main" id="{B690B226-A33E-41F1-93A5-89D62253E215}"/>
            </a:ext>
          </a:extLst>
        </xdr:cNvPr>
        <xdr:cNvSpPr txBox="1">
          <a:spLocks noChangeArrowheads="1"/>
        </xdr:cNvSpPr>
      </xdr:nvSpPr>
      <xdr:spPr bwMode="auto">
        <a:xfrm>
          <a:off x="20088225"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316" name="Text Box 98">
          <a:extLst>
            <a:ext uri="{FF2B5EF4-FFF2-40B4-BE49-F238E27FC236}">
              <a16:creationId xmlns="" xmlns:a16="http://schemas.microsoft.com/office/drawing/2014/main" id="{E5813C8D-395C-4AA1-BF89-88D778E6C742}"/>
            </a:ext>
          </a:extLst>
        </xdr:cNvPr>
        <xdr:cNvSpPr txBox="1">
          <a:spLocks noChangeArrowheads="1"/>
        </xdr:cNvSpPr>
      </xdr:nvSpPr>
      <xdr:spPr bwMode="auto">
        <a:xfrm>
          <a:off x="20088225"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17" name="Text Box 99">
          <a:extLst>
            <a:ext uri="{FF2B5EF4-FFF2-40B4-BE49-F238E27FC236}">
              <a16:creationId xmlns="" xmlns:a16="http://schemas.microsoft.com/office/drawing/2014/main" id="{B081E6BC-CBEF-4AA0-B547-AFFC39470F4F}"/>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18" name="Text Box 100">
          <a:extLst>
            <a:ext uri="{FF2B5EF4-FFF2-40B4-BE49-F238E27FC236}">
              <a16:creationId xmlns="" xmlns:a16="http://schemas.microsoft.com/office/drawing/2014/main" id="{9F6C14AC-5143-4F1E-A6B2-7767677E94F4}"/>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19" name="Text Box 101">
          <a:extLst>
            <a:ext uri="{FF2B5EF4-FFF2-40B4-BE49-F238E27FC236}">
              <a16:creationId xmlns="" xmlns:a16="http://schemas.microsoft.com/office/drawing/2014/main" id="{80A5095C-2DF6-40BB-A445-32146D2E1CD0}"/>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20" name="Text Box 102">
          <a:extLst>
            <a:ext uri="{FF2B5EF4-FFF2-40B4-BE49-F238E27FC236}">
              <a16:creationId xmlns="" xmlns:a16="http://schemas.microsoft.com/office/drawing/2014/main" id="{2732C176-598B-49DD-AE59-FD1C11C4A494}"/>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21" name="Text Box 103">
          <a:extLst>
            <a:ext uri="{FF2B5EF4-FFF2-40B4-BE49-F238E27FC236}">
              <a16:creationId xmlns="" xmlns:a16="http://schemas.microsoft.com/office/drawing/2014/main" id="{2CC80B2B-9CFB-419A-95C5-0B827D39E5E7}"/>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22" name="Text Box 104">
          <a:extLst>
            <a:ext uri="{FF2B5EF4-FFF2-40B4-BE49-F238E27FC236}">
              <a16:creationId xmlns="" xmlns:a16="http://schemas.microsoft.com/office/drawing/2014/main" id="{F2A0A835-51AB-4EB5-9CC9-00308C907EC1}"/>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23" name="Text Box 105">
          <a:extLst>
            <a:ext uri="{FF2B5EF4-FFF2-40B4-BE49-F238E27FC236}">
              <a16:creationId xmlns="" xmlns:a16="http://schemas.microsoft.com/office/drawing/2014/main" id="{D59432AD-9ECC-433E-9F53-EEF503867CDE}"/>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24" name="Text Box 106">
          <a:extLst>
            <a:ext uri="{FF2B5EF4-FFF2-40B4-BE49-F238E27FC236}">
              <a16:creationId xmlns="" xmlns:a16="http://schemas.microsoft.com/office/drawing/2014/main" id="{390B4C5C-C0C1-43AC-861F-368E4FF32EA6}"/>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25" name="Text Box 107">
          <a:extLst>
            <a:ext uri="{FF2B5EF4-FFF2-40B4-BE49-F238E27FC236}">
              <a16:creationId xmlns="" xmlns:a16="http://schemas.microsoft.com/office/drawing/2014/main" id="{5D721473-01D1-4197-8DF4-AB92E73E146F}"/>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26" name="Text Box 108">
          <a:extLst>
            <a:ext uri="{FF2B5EF4-FFF2-40B4-BE49-F238E27FC236}">
              <a16:creationId xmlns="" xmlns:a16="http://schemas.microsoft.com/office/drawing/2014/main" id="{951BCDBA-C088-4668-83C2-7A41E06FB5A4}"/>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27" name="Text Box 109">
          <a:extLst>
            <a:ext uri="{FF2B5EF4-FFF2-40B4-BE49-F238E27FC236}">
              <a16:creationId xmlns="" xmlns:a16="http://schemas.microsoft.com/office/drawing/2014/main" id="{682497FE-98C8-4AC2-B62F-2E7B7250284F}"/>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28" name="Text Box 110">
          <a:extLst>
            <a:ext uri="{FF2B5EF4-FFF2-40B4-BE49-F238E27FC236}">
              <a16:creationId xmlns="" xmlns:a16="http://schemas.microsoft.com/office/drawing/2014/main" id="{94199144-2896-448F-B5B5-90747E884490}"/>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29" name="Text Box 111">
          <a:extLst>
            <a:ext uri="{FF2B5EF4-FFF2-40B4-BE49-F238E27FC236}">
              <a16:creationId xmlns="" xmlns:a16="http://schemas.microsoft.com/office/drawing/2014/main" id="{3DD1252E-E8FA-43D0-B353-42EEDB422B12}"/>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30" name="Text Box 112">
          <a:extLst>
            <a:ext uri="{FF2B5EF4-FFF2-40B4-BE49-F238E27FC236}">
              <a16:creationId xmlns="" xmlns:a16="http://schemas.microsoft.com/office/drawing/2014/main" id="{2F6F31B2-BB84-4F5B-9F28-FE025212A6B3}"/>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331" name="Text Box 113">
          <a:extLst>
            <a:ext uri="{FF2B5EF4-FFF2-40B4-BE49-F238E27FC236}">
              <a16:creationId xmlns="" xmlns:a16="http://schemas.microsoft.com/office/drawing/2014/main" id="{3DD81548-66A9-40BE-B081-95D802706CE7}"/>
            </a:ext>
          </a:extLst>
        </xdr:cNvPr>
        <xdr:cNvSpPr txBox="1">
          <a:spLocks noChangeArrowheads="1"/>
        </xdr:cNvSpPr>
      </xdr:nvSpPr>
      <xdr:spPr bwMode="auto">
        <a:xfrm>
          <a:off x="2008822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332" name="Text Box 114">
          <a:extLst>
            <a:ext uri="{FF2B5EF4-FFF2-40B4-BE49-F238E27FC236}">
              <a16:creationId xmlns="" xmlns:a16="http://schemas.microsoft.com/office/drawing/2014/main" id="{E142E0AF-ECAA-4B8B-B2C3-C04D034E5087}"/>
            </a:ext>
          </a:extLst>
        </xdr:cNvPr>
        <xdr:cNvSpPr txBox="1">
          <a:spLocks noChangeArrowheads="1"/>
        </xdr:cNvSpPr>
      </xdr:nvSpPr>
      <xdr:spPr bwMode="auto">
        <a:xfrm>
          <a:off x="2008822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33" name="Text Box 115">
          <a:extLst>
            <a:ext uri="{FF2B5EF4-FFF2-40B4-BE49-F238E27FC236}">
              <a16:creationId xmlns="" xmlns:a16="http://schemas.microsoft.com/office/drawing/2014/main" id="{4E36A0C9-DF28-487C-9530-68E759143B0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34" name="Text Box 116">
          <a:extLst>
            <a:ext uri="{FF2B5EF4-FFF2-40B4-BE49-F238E27FC236}">
              <a16:creationId xmlns="" xmlns:a16="http://schemas.microsoft.com/office/drawing/2014/main" id="{721A06D3-A4E4-47EA-BEA0-5DED663E11AD}"/>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35" name="Text Box 117">
          <a:extLst>
            <a:ext uri="{FF2B5EF4-FFF2-40B4-BE49-F238E27FC236}">
              <a16:creationId xmlns="" xmlns:a16="http://schemas.microsoft.com/office/drawing/2014/main" id="{6CA7770F-2F35-418E-8D9F-AD789D7DB37E}"/>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36" name="Text Box 118">
          <a:extLst>
            <a:ext uri="{FF2B5EF4-FFF2-40B4-BE49-F238E27FC236}">
              <a16:creationId xmlns="" xmlns:a16="http://schemas.microsoft.com/office/drawing/2014/main" id="{F0CC39E9-15B9-4981-B257-CCFFAA30FCC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37" name="Text Box 119">
          <a:extLst>
            <a:ext uri="{FF2B5EF4-FFF2-40B4-BE49-F238E27FC236}">
              <a16:creationId xmlns="" xmlns:a16="http://schemas.microsoft.com/office/drawing/2014/main" id="{0BEBC798-F2FE-4878-A2DB-00F1D547EE4C}"/>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38" name="Text Box 120">
          <a:extLst>
            <a:ext uri="{FF2B5EF4-FFF2-40B4-BE49-F238E27FC236}">
              <a16:creationId xmlns="" xmlns:a16="http://schemas.microsoft.com/office/drawing/2014/main" id="{047335DC-148A-42D6-A86B-65486C73164B}"/>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39" name="Text Box 121">
          <a:extLst>
            <a:ext uri="{FF2B5EF4-FFF2-40B4-BE49-F238E27FC236}">
              <a16:creationId xmlns="" xmlns:a16="http://schemas.microsoft.com/office/drawing/2014/main" id="{0CCF98DC-35E2-46BC-B7A3-C0720682F81E}"/>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40" name="Text Box 122">
          <a:extLst>
            <a:ext uri="{FF2B5EF4-FFF2-40B4-BE49-F238E27FC236}">
              <a16:creationId xmlns="" xmlns:a16="http://schemas.microsoft.com/office/drawing/2014/main" id="{3DFBAC6D-545F-43EF-8072-F2325CD0E235}"/>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41" name="Text Box 123">
          <a:extLst>
            <a:ext uri="{FF2B5EF4-FFF2-40B4-BE49-F238E27FC236}">
              <a16:creationId xmlns="" xmlns:a16="http://schemas.microsoft.com/office/drawing/2014/main" id="{131360A4-3195-4E7E-9256-608965313CE5}"/>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42" name="Text Box 124">
          <a:extLst>
            <a:ext uri="{FF2B5EF4-FFF2-40B4-BE49-F238E27FC236}">
              <a16:creationId xmlns="" xmlns:a16="http://schemas.microsoft.com/office/drawing/2014/main" id="{4B0C64C9-79BC-4980-8327-E948904940C0}"/>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43" name="Text Box 125">
          <a:extLst>
            <a:ext uri="{FF2B5EF4-FFF2-40B4-BE49-F238E27FC236}">
              <a16:creationId xmlns="" xmlns:a16="http://schemas.microsoft.com/office/drawing/2014/main" id="{91D17836-91DF-4974-AB23-86F7EE5A2590}"/>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44" name="Text Box 126">
          <a:extLst>
            <a:ext uri="{FF2B5EF4-FFF2-40B4-BE49-F238E27FC236}">
              <a16:creationId xmlns="" xmlns:a16="http://schemas.microsoft.com/office/drawing/2014/main" id="{FF16DF24-FF4F-4F3F-99EB-A0A1FE26DBD4}"/>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45" name="Text Box 127">
          <a:extLst>
            <a:ext uri="{FF2B5EF4-FFF2-40B4-BE49-F238E27FC236}">
              <a16:creationId xmlns="" xmlns:a16="http://schemas.microsoft.com/office/drawing/2014/main" id="{88FEE704-D85B-4071-85EC-A53ABC5C10F1}"/>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46" name="Text Box 128">
          <a:extLst>
            <a:ext uri="{FF2B5EF4-FFF2-40B4-BE49-F238E27FC236}">
              <a16:creationId xmlns="" xmlns:a16="http://schemas.microsoft.com/office/drawing/2014/main" id="{AF6321DE-038D-4CAF-B6E9-C69EE007F1E9}"/>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47" name="Text Box 129">
          <a:extLst>
            <a:ext uri="{FF2B5EF4-FFF2-40B4-BE49-F238E27FC236}">
              <a16:creationId xmlns="" xmlns:a16="http://schemas.microsoft.com/office/drawing/2014/main" id="{5C20FF20-B223-4206-87C1-73260297EDDC}"/>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48" name="Text Box 130">
          <a:extLst>
            <a:ext uri="{FF2B5EF4-FFF2-40B4-BE49-F238E27FC236}">
              <a16:creationId xmlns="" xmlns:a16="http://schemas.microsoft.com/office/drawing/2014/main" id="{893DA91F-209B-4B79-AF7A-C3DFA96D4F88}"/>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49" name="Text Box 131">
          <a:extLst>
            <a:ext uri="{FF2B5EF4-FFF2-40B4-BE49-F238E27FC236}">
              <a16:creationId xmlns="" xmlns:a16="http://schemas.microsoft.com/office/drawing/2014/main" id="{A6048707-B865-469B-9998-F1A02505E9B5}"/>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50" name="Text Box 132">
          <a:extLst>
            <a:ext uri="{FF2B5EF4-FFF2-40B4-BE49-F238E27FC236}">
              <a16:creationId xmlns="" xmlns:a16="http://schemas.microsoft.com/office/drawing/2014/main" id="{0153DBE5-061D-4411-B3B0-B2696E28AC74}"/>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51" name="Text Box 133">
          <a:extLst>
            <a:ext uri="{FF2B5EF4-FFF2-40B4-BE49-F238E27FC236}">
              <a16:creationId xmlns="" xmlns:a16="http://schemas.microsoft.com/office/drawing/2014/main" id="{65138B1E-8B8C-4BE2-91BD-C9A7CFD597CB}"/>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52" name="Text Box 134">
          <a:extLst>
            <a:ext uri="{FF2B5EF4-FFF2-40B4-BE49-F238E27FC236}">
              <a16:creationId xmlns="" xmlns:a16="http://schemas.microsoft.com/office/drawing/2014/main" id="{D4007A35-F347-47C6-A597-4CFE069E287F}"/>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53" name="Text Box 135">
          <a:extLst>
            <a:ext uri="{FF2B5EF4-FFF2-40B4-BE49-F238E27FC236}">
              <a16:creationId xmlns="" xmlns:a16="http://schemas.microsoft.com/office/drawing/2014/main" id="{C631780B-85E5-42F1-9CD4-E77C5890C247}"/>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54" name="Text Box 136">
          <a:extLst>
            <a:ext uri="{FF2B5EF4-FFF2-40B4-BE49-F238E27FC236}">
              <a16:creationId xmlns="" xmlns:a16="http://schemas.microsoft.com/office/drawing/2014/main" id="{F2C3CC80-0EF6-401F-93A7-B6D4E982F898}"/>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55" name="Text Box 137">
          <a:extLst>
            <a:ext uri="{FF2B5EF4-FFF2-40B4-BE49-F238E27FC236}">
              <a16:creationId xmlns="" xmlns:a16="http://schemas.microsoft.com/office/drawing/2014/main" id="{B965C066-ED64-439A-9668-068BAEB749F4}"/>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56" name="Text Box 138">
          <a:extLst>
            <a:ext uri="{FF2B5EF4-FFF2-40B4-BE49-F238E27FC236}">
              <a16:creationId xmlns="" xmlns:a16="http://schemas.microsoft.com/office/drawing/2014/main" id="{DDC058CD-08D4-4DAC-9F9B-AEAAA2F296EF}"/>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57" name="Text Box 139">
          <a:extLst>
            <a:ext uri="{FF2B5EF4-FFF2-40B4-BE49-F238E27FC236}">
              <a16:creationId xmlns="" xmlns:a16="http://schemas.microsoft.com/office/drawing/2014/main" id="{CEECE4F6-631F-48E6-9F23-66D0FE7F1E31}"/>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58" name="Text Box 140">
          <a:extLst>
            <a:ext uri="{FF2B5EF4-FFF2-40B4-BE49-F238E27FC236}">
              <a16:creationId xmlns="" xmlns:a16="http://schemas.microsoft.com/office/drawing/2014/main" id="{E7DA1CAD-C14C-49DF-82A6-FFEEE3F324C4}"/>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59" name="Text Box 141">
          <a:extLst>
            <a:ext uri="{FF2B5EF4-FFF2-40B4-BE49-F238E27FC236}">
              <a16:creationId xmlns="" xmlns:a16="http://schemas.microsoft.com/office/drawing/2014/main" id="{55D159A2-EF31-4A8F-94A5-6D575BCAE0A0}"/>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360" name="Text Box 142">
          <a:extLst>
            <a:ext uri="{FF2B5EF4-FFF2-40B4-BE49-F238E27FC236}">
              <a16:creationId xmlns="" xmlns:a16="http://schemas.microsoft.com/office/drawing/2014/main" id="{E28B2CBF-B789-4181-B1E8-AD5852EA67CE}"/>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1925"/>
    <xdr:sp macro="" textlink="">
      <xdr:nvSpPr>
        <xdr:cNvPr id="361" name="Text Box 143">
          <a:extLst>
            <a:ext uri="{FF2B5EF4-FFF2-40B4-BE49-F238E27FC236}">
              <a16:creationId xmlns="" xmlns:a16="http://schemas.microsoft.com/office/drawing/2014/main" id="{1D9935E2-8507-4A50-988E-CC8E0B6447E3}"/>
            </a:ext>
          </a:extLst>
        </xdr:cNvPr>
        <xdr:cNvSpPr txBox="1">
          <a:spLocks noChangeArrowheads="1"/>
        </xdr:cNvSpPr>
      </xdr:nvSpPr>
      <xdr:spPr bwMode="auto">
        <a:xfrm>
          <a:off x="20088225"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1925"/>
    <xdr:sp macro="" textlink="">
      <xdr:nvSpPr>
        <xdr:cNvPr id="362" name="Text Box 144">
          <a:extLst>
            <a:ext uri="{FF2B5EF4-FFF2-40B4-BE49-F238E27FC236}">
              <a16:creationId xmlns="" xmlns:a16="http://schemas.microsoft.com/office/drawing/2014/main" id="{9952D70B-AD1A-4222-92F3-7B9C63BE76F7}"/>
            </a:ext>
          </a:extLst>
        </xdr:cNvPr>
        <xdr:cNvSpPr txBox="1">
          <a:spLocks noChangeArrowheads="1"/>
        </xdr:cNvSpPr>
      </xdr:nvSpPr>
      <xdr:spPr bwMode="auto">
        <a:xfrm>
          <a:off x="20088225"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363" name="Text Box 145">
          <a:extLst>
            <a:ext uri="{FF2B5EF4-FFF2-40B4-BE49-F238E27FC236}">
              <a16:creationId xmlns="" xmlns:a16="http://schemas.microsoft.com/office/drawing/2014/main" id="{C619E3CD-268D-4715-B21D-1129BCDA3F97}"/>
            </a:ext>
          </a:extLst>
        </xdr:cNvPr>
        <xdr:cNvSpPr txBox="1">
          <a:spLocks noChangeArrowheads="1"/>
        </xdr:cNvSpPr>
      </xdr:nvSpPr>
      <xdr:spPr bwMode="auto">
        <a:xfrm>
          <a:off x="20088225"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364" name="Text Box 147">
          <a:extLst>
            <a:ext uri="{FF2B5EF4-FFF2-40B4-BE49-F238E27FC236}">
              <a16:creationId xmlns="" xmlns:a16="http://schemas.microsoft.com/office/drawing/2014/main" id="{E01773CA-2660-4D73-B8D9-8FF44291D060}"/>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365" name="Text Box 148">
          <a:extLst>
            <a:ext uri="{FF2B5EF4-FFF2-40B4-BE49-F238E27FC236}">
              <a16:creationId xmlns="" xmlns:a16="http://schemas.microsoft.com/office/drawing/2014/main" id="{DDA0E60B-D165-4E5E-864B-F2418A6FE0D8}"/>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366" name="Text Box 149">
          <a:extLst>
            <a:ext uri="{FF2B5EF4-FFF2-40B4-BE49-F238E27FC236}">
              <a16:creationId xmlns="" xmlns:a16="http://schemas.microsoft.com/office/drawing/2014/main" id="{6BDAE66D-5068-4DF4-8C7C-2B4D930219FD}"/>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367" name="Text Box 150">
          <a:extLst>
            <a:ext uri="{FF2B5EF4-FFF2-40B4-BE49-F238E27FC236}">
              <a16:creationId xmlns="" xmlns:a16="http://schemas.microsoft.com/office/drawing/2014/main" id="{5E5D248F-1AE5-44EC-9858-968897275982}"/>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68" name="Text Box 151">
          <a:extLst>
            <a:ext uri="{FF2B5EF4-FFF2-40B4-BE49-F238E27FC236}">
              <a16:creationId xmlns="" xmlns:a16="http://schemas.microsoft.com/office/drawing/2014/main" id="{7AE8FDE3-3801-4B08-9BF1-5772F3F445E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69" name="Text Box 152">
          <a:extLst>
            <a:ext uri="{FF2B5EF4-FFF2-40B4-BE49-F238E27FC236}">
              <a16:creationId xmlns="" xmlns:a16="http://schemas.microsoft.com/office/drawing/2014/main" id="{413B321D-DFEF-46E0-84AA-4BCFC0970E83}"/>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70" name="Text Box 153">
          <a:extLst>
            <a:ext uri="{FF2B5EF4-FFF2-40B4-BE49-F238E27FC236}">
              <a16:creationId xmlns="" xmlns:a16="http://schemas.microsoft.com/office/drawing/2014/main" id="{218F9747-3120-487E-9E45-B8EA39575681}"/>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71" name="Text Box 154">
          <a:extLst>
            <a:ext uri="{FF2B5EF4-FFF2-40B4-BE49-F238E27FC236}">
              <a16:creationId xmlns="" xmlns:a16="http://schemas.microsoft.com/office/drawing/2014/main" id="{D417BCA8-49E8-44BD-B9CC-2C014D0C48D0}"/>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72" name="Text Box 155">
          <a:extLst>
            <a:ext uri="{FF2B5EF4-FFF2-40B4-BE49-F238E27FC236}">
              <a16:creationId xmlns="" xmlns:a16="http://schemas.microsoft.com/office/drawing/2014/main" id="{52A4B122-8773-44BF-A1D4-CD0B62583C23}"/>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73" name="Text Box 156">
          <a:extLst>
            <a:ext uri="{FF2B5EF4-FFF2-40B4-BE49-F238E27FC236}">
              <a16:creationId xmlns="" xmlns:a16="http://schemas.microsoft.com/office/drawing/2014/main" id="{66370AE2-E22F-4563-8525-B6CEDD35A164}"/>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74" name="Text Box 157">
          <a:extLst>
            <a:ext uri="{FF2B5EF4-FFF2-40B4-BE49-F238E27FC236}">
              <a16:creationId xmlns="" xmlns:a16="http://schemas.microsoft.com/office/drawing/2014/main" id="{FEE19CEC-1CE1-49DC-A9E5-6959FC4BDB71}"/>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375" name="Text Box 158">
          <a:extLst>
            <a:ext uri="{FF2B5EF4-FFF2-40B4-BE49-F238E27FC236}">
              <a16:creationId xmlns="" xmlns:a16="http://schemas.microsoft.com/office/drawing/2014/main" id="{0172A958-FE49-455B-9999-DF31C84EE6CA}"/>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76" name="Text Box 214">
          <a:extLst>
            <a:ext uri="{FF2B5EF4-FFF2-40B4-BE49-F238E27FC236}">
              <a16:creationId xmlns="" xmlns:a16="http://schemas.microsoft.com/office/drawing/2014/main" id="{CA567CEB-F10A-4F48-BE66-843D2263DD80}"/>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377" name="Text Box 215">
          <a:extLst>
            <a:ext uri="{FF2B5EF4-FFF2-40B4-BE49-F238E27FC236}">
              <a16:creationId xmlns="" xmlns:a16="http://schemas.microsoft.com/office/drawing/2014/main" id="{29806E84-C719-4C0F-B537-9AE9D71FC4D1}"/>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378" name="Text Box 277023">
          <a:extLst>
            <a:ext uri="{FF2B5EF4-FFF2-40B4-BE49-F238E27FC236}">
              <a16:creationId xmlns="" xmlns:a16="http://schemas.microsoft.com/office/drawing/2014/main" id="{878268D8-F4E7-4733-8D42-3820AE39C72E}"/>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379" name="Text Box 277024">
          <a:extLst>
            <a:ext uri="{FF2B5EF4-FFF2-40B4-BE49-F238E27FC236}">
              <a16:creationId xmlns="" xmlns:a16="http://schemas.microsoft.com/office/drawing/2014/main" id="{3F12C00C-AB4F-4F33-9145-19E60882BAE0}"/>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380" name="Text Box 277025">
          <a:extLst>
            <a:ext uri="{FF2B5EF4-FFF2-40B4-BE49-F238E27FC236}">
              <a16:creationId xmlns="" xmlns:a16="http://schemas.microsoft.com/office/drawing/2014/main" id="{B89235A8-EE26-4E6F-B594-1F038164F5D5}"/>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381" name="Text Box 277026">
          <a:extLst>
            <a:ext uri="{FF2B5EF4-FFF2-40B4-BE49-F238E27FC236}">
              <a16:creationId xmlns="" xmlns:a16="http://schemas.microsoft.com/office/drawing/2014/main" id="{BEB39DFA-3272-4209-A1D6-5864D32D1161}"/>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82" name="Text Box 198">
          <a:extLst>
            <a:ext uri="{FF2B5EF4-FFF2-40B4-BE49-F238E27FC236}">
              <a16:creationId xmlns="" xmlns:a16="http://schemas.microsoft.com/office/drawing/2014/main" id="{41427C99-576A-425E-BDCF-1E52EDAF2134}"/>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83" name="Text Box 199">
          <a:extLst>
            <a:ext uri="{FF2B5EF4-FFF2-40B4-BE49-F238E27FC236}">
              <a16:creationId xmlns="" xmlns:a16="http://schemas.microsoft.com/office/drawing/2014/main" id="{7085BF7B-DB20-4E4D-90BC-9DB1DA0AFE49}"/>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84" name="Text Box 208">
          <a:extLst>
            <a:ext uri="{FF2B5EF4-FFF2-40B4-BE49-F238E27FC236}">
              <a16:creationId xmlns="" xmlns:a16="http://schemas.microsoft.com/office/drawing/2014/main" id="{2005D5A5-0960-4511-BFAC-AE041E159C8F}"/>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85" name="Text Box 209">
          <a:extLst>
            <a:ext uri="{FF2B5EF4-FFF2-40B4-BE49-F238E27FC236}">
              <a16:creationId xmlns="" xmlns:a16="http://schemas.microsoft.com/office/drawing/2014/main" id="{CFD3641C-8897-437B-904C-BDDE1C581630}"/>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86" name="Text Box 210">
          <a:extLst>
            <a:ext uri="{FF2B5EF4-FFF2-40B4-BE49-F238E27FC236}">
              <a16:creationId xmlns="" xmlns:a16="http://schemas.microsoft.com/office/drawing/2014/main" id="{4F160C6A-A023-4121-84A1-EF05BA289DBF}"/>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87" name="Text Box 211">
          <a:extLst>
            <a:ext uri="{FF2B5EF4-FFF2-40B4-BE49-F238E27FC236}">
              <a16:creationId xmlns="" xmlns:a16="http://schemas.microsoft.com/office/drawing/2014/main" id="{B621BEE2-AF5A-4FE5-AF35-5BD9BC0D1D62}"/>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88" name="Text Box 43">
          <a:extLst>
            <a:ext uri="{FF2B5EF4-FFF2-40B4-BE49-F238E27FC236}">
              <a16:creationId xmlns="" xmlns:a16="http://schemas.microsoft.com/office/drawing/2014/main" id="{98CDAD05-2576-4F05-AD8C-12E9F395ECD6}"/>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89" name="Text Box 45">
          <a:extLst>
            <a:ext uri="{FF2B5EF4-FFF2-40B4-BE49-F238E27FC236}">
              <a16:creationId xmlns="" xmlns:a16="http://schemas.microsoft.com/office/drawing/2014/main" id="{B55C59F2-502F-4C23-9A1B-FA6A5BFFD12A}"/>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90" name="Text Box 47">
          <a:extLst>
            <a:ext uri="{FF2B5EF4-FFF2-40B4-BE49-F238E27FC236}">
              <a16:creationId xmlns="" xmlns:a16="http://schemas.microsoft.com/office/drawing/2014/main" id="{41413BD1-A525-4B49-9856-B6E42E75DAEA}"/>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91" name="Text Box 48">
          <a:extLst>
            <a:ext uri="{FF2B5EF4-FFF2-40B4-BE49-F238E27FC236}">
              <a16:creationId xmlns="" xmlns:a16="http://schemas.microsoft.com/office/drawing/2014/main" id="{A6A1A0A7-6FD2-4943-AB4B-707D742D2FEF}"/>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07104"/>
    <xdr:sp macro="" textlink="">
      <xdr:nvSpPr>
        <xdr:cNvPr id="392" name="Text Box 394">
          <a:extLst>
            <a:ext uri="{FF2B5EF4-FFF2-40B4-BE49-F238E27FC236}">
              <a16:creationId xmlns="" xmlns:a16="http://schemas.microsoft.com/office/drawing/2014/main" id="{89485D3C-CF1E-4170-B0B5-5E911A3293F3}"/>
            </a:ext>
          </a:extLst>
        </xdr:cNvPr>
        <xdr:cNvSpPr txBox="1">
          <a:spLocks noChangeArrowheads="1"/>
        </xdr:cNvSpPr>
      </xdr:nvSpPr>
      <xdr:spPr bwMode="auto">
        <a:xfrm>
          <a:off x="19030950" y="73380600"/>
          <a:ext cx="76200" cy="240710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07104"/>
    <xdr:sp macro="" textlink="">
      <xdr:nvSpPr>
        <xdr:cNvPr id="393" name="Text Box 395">
          <a:extLst>
            <a:ext uri="{FF2B5EF4-FFF2-40B4-BE49-F238E27FC236}">
              <a16:creationId xmlns="" xmlns:a16="http://schemas.microsoft.com/office/drawing/2014/main" id="{3CE6F8CF-760B-4FE0-B763-467C652B6496}"/>
            </a:ext>
          </a:extLst>
        </xdr:cNvPr>
        <xdr:cNvSpPr txBox="1">
          <a:spLocks noChangeArrowheads="1"/>
        </xdr:cNvSpPr>
      </xdr:nvSpPr>
      <xdr:spPr bwMode="auto">
        <a:xfrm>
          <a:off x="19030950" y="73380600"/>
          <a:ext cx="76200" cy="240710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07104"/>
    <xdr:sp macro="" textlink="">
      <xdr:nvSpPr>
        <xdr:cNvPr id="394" name="Text Box 396">
          <a:extLst>
            <a:ext uri="{FF2B5EF4-FFF2-40B4-BE49-F238E27FC236}">
              <a16:creationId xmlns="" xmlns:a16="http://schemas.microsoft.com/office/drawing/2014/main" id="{B40B8C73-6B11-4174-A044-67C18C993FC0}"/>
            </a:ext>
          </a:extLst>
        </xdr:cNvPr>
        <xdr:cNvSpPr txBox="1">
          <a:spLocks noChangeArrowheads="1"/>
        </xdr:cNvSpPr>
      </xdr:nvSpPr>
      <xdr:spPr bwMode="auto">
        <a:xfrm>
          <a:off x="19030950" y="73380600"/>
          <a:ext cx="76200" cy="240710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07104"/>
    <xdr:sp macro="" textlink="">
      <xdr:nvSpPr>
        <xdr:cNvPr id="395" name="Text Box 397">
          <a:extLst>
            <a:ext uri="{FF2B5EF4-FFF2-40B4-BE49-F238E27FC236}">
              <a16:creationId xmlns="" xmlns:a16="http://schemas.microsoft.com/office/drawing/2014/main" id="{2447DF5B-8458-4691-910C-D6F9ECC5C23C}"/>
            </a:ext>
          </a:extLst>
        </xdr:cNvPr>
        <xdr:cNvSpPr txBox="1">
          <a:spLocks noChangeArrowheads="1"/>
        </xdr:cNvSpPr>
      </xdr:nvSpPr>
      <xdr:spPr bwMode="auto">
        <a:xfrm>
          <a:off x="19030950" y="73380600"/>
          <a:ext cx="76200" cy="240710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96" name="Text Box 43">
          <a:extLst>
            <a:ext uri="{FF2B5EF4-FFF2-40B4-BE49-F238E27FC236}">
              <a16:creationId xmlns="" xmlns:a16="http://schemas.microsoft.com/office/drawing/2014/main" id="{2EB94D4A-02AA-4A39-820C-E33A0498F921}"/>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97" name="Text Box 45">
          <a:extLst>
            <a:ext uri="{FF2B5EF4-FFF2-40B4-BE49-F238E27FC236}">
              <a16:creationId xmlns="" xmlns:a16="http://schemas.microsoft.com/office/drawing/2014/main" id="{E3C6EC36-F755-4BCD-ADA7-FDB6D0EEEF1F}"/>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98" name="Text Box 47">
          <a:extLst>
            <a:ext uri="{FF2B5EF4-FFF2-40B4-BE49-F238E27FC236}">
              <a16:creationId xmlns="" xmlns:a16="http://schemas.microsoft.com/office/drawing/2014/main" id="{855667D6-3450-4ACA-B851-E1ECA3E17218}"/>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399" name="Text Box 48">
          <a:extLst>
            <a:ext uri="{FF2B5EF4-FFF2-40B4-BE49-F238E27FC236}">
              <a16:creationId xmlns="" xmlns:a16="http://schemas.microsoft.com/office/drawing/2014/main" id="{2C6FEB32-40D8-4378-8D4F-F60DE3F8EF46}"/>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33057"/>
    <xdr:sp macro="" textlink="">
      <xdr:nvSpPr>
        <xdr:cNvPr id="400" name="Text Box 607">
          <a:extLst>
            <a:ext uri="{FF2B5EF4-FFF2-40B4-BE49-F238E27FC236}">
              <a16:creationId xmlns="" xmlns:a16="http://schemas.microsoft.com/office/drawing/2014/main" id="{76D91E2A-C101-4A88-8975-85FA7904D751}"/>
            </a:ext>
          </a:extLst>
        </xdr:cNvPr>
        <xdr:cNvSpPr txBox="1">
          <a:spLocks noChangeArrowheads="1"/>
        </xdr:cNvSpPr>
      </xdr:nvSpPr>
      <xdr:spPr bwMode="auto">
        <a:xfrm>
          <a:off x="19030950" y="73380600"/>
          <a:ext cx="76200" cy="32330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33057"/>
    <xdr:sp macro="" textlink="">
      <xdr:nvSpPr>
        <xdr:cNvPr id="401" name="Text Box 608">
          <a:extLst>
            <a:ext uri="{FF2B5EF4-FFF2-40B4-BE49-F238E27FC236}">
              <a16:creationId xmlns="" xmlns:a16="http://schemas.microsoft.com/office/drawing/2014/main" id="{42CA8968-EBBE-44FD-9242-1329DF500783}"/>
            </a:ext>
          </a:extLst>
        </xdr:cNvPr>
        <xdr:cNvSpPr txBox="1">
          <a:spLocks noChangeArrowheads="1"/>
        </xdr:cNvSpPr>
      </xdr:nvSpPr>
      <xdr:spPr bwMode="auto">
        <a:xfrm>
          <a:off x="19030950" y="73380600"/>
          <a:ext cx="76200" cy="32330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6154"/>
    <xdr:sp macro="" textlink="">
      <xdr:nvSpPr>
        <xdr:cNvPr id="402" name="Text Box 617">
          <a:extLst>
            <a:ext uri="{FF2B5EF4-FFF2-40B4-BE49-F238E27FC236}">
              <a16:creationId xmlns="" xmlns:a16="http://schemas.microsoft.com/office/drawing/2014/main" id="{1EFB99C7-7689-4A12-AEAE-AC3DE6133454}"/>
            </a:ext>
          </a:extLst>
        </xdr:cNvPr>
        <xdr:cNvSpPr txBox="1">
          <a:spLocks noChangeArrowheads="1"/>
        </xdr:cNvSpPr>
      </xdr:nvSpPr>
      <xdr:spPr bwMode="auto">
        <a:xfrm>
          <a:off x="19030950" y="73380600"/>
          <a:ext cx="76200" cy="242615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6154"/>
    <xdr:sp macro="" textlink="">
      <xdr:nvSpPr>
        <xdr:cNvPr id="403" name="Text Box 618">
          <a:extLst>
            <a:ext uri="{FF2B5EF4-FFF2-40B4-BE49-F238E27FC236}">
              <a16:creationId xmlns="" xmlns:a16="http://schemas.microsoft.com/office/drawing/2014/main" id="{3570CA9F-3BDB-4B1C-8743-773F99AC60C4}"/>
            </a:ext>
          </a:extLst>
        </xdr:cNvPr>
        <xdr:cNvSpPr txBox="1">
          <a:spLocks noChangeArrowheads="1"/>
        </xdr:cNvSpPr>
      </xdr:nvSpPr>
      <xdr:spPr bwMode="auto">
        <a:xfrm>
          <a:off x="19030950" y="73380600"/>
          <a:ext cx="76200" cy="242615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6154"/>
    <xdr:sp macro="" textlink="">
      <xdr:nvSpPr>
        <xdr:cNvPr id="404" name="Text Box 619">
          <a:extLst>
            <a:ext uri="{FF2B5EF4-FFF2-40B4-BE49-F238E27FC236}">
              <a16:creationId xmlns="" xmlns:a16="http://schemas.microsoft.com/office/drawing/2014/main" id="{034AF632-041B-4037-90EF-D48A830C5591}"/>
            </a:ext>
          </a:extLst>
        </xdr:cNvPr>
        <xdr:cNvSpPr txBox="1">
          <a:spLocks noChangeArrowheads="1"/>
        </xdr:cNvSpPr>
      </xdr:nvSpPr>
      <xdr:spPr bwMode="auto">
        <a:xfrm>
          <a:off x="19030950" y="73380600"/>
          <a:ext cx="76200" cy="242615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6154"/>
    <xdr:sp macro="" textlink="">
      <xdr:nvSpPr>
        <xdr:cNvPr id="405" name="Text Box 620">
          <a:extLst>
            <a:ext uri="{FF2B5EF4-FFF2-40B4-BE49-F238E27FC236}">
              <a16:creationId xmlns="" xmlns:a16="http://schemas.microsoft.com/office/drawing/2014/main" id="{38C45606-9119-4C8F-A856-43B1D8922204}"/>
            </a:ext>
          </a:extLst>
        </xdr:cNvPr>
        <xdr:cNvSpPr txBox="1">
          <a:spLocks noChangeArrowheads="1"/>
        </xdr:cNvSpPr>
      </xdr:nvSpPr>
      <xdr:spPr bwMode="auto">
        <a:xfrm>
          <a:off x="19030950" y="73380600"/>
          <a:ext cx="76200" cy="242615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58811"/>
    <xdr:sp macro="" textlink="">
      <xdr:nvSpPr>
        <xdr:cNvPr id="406" name="Text Box 43">
          <a:extLst>
            <a:ext uri="{FF2B5EF4-FFF2-40B4-BE49-F238E27FC236}">
              <a16:creationId xmlns="" xmlns:a16="http://schemas.microsoft.com/office/drawing/2014/main" id="{1F52D6A0-7543-48D5-901B-C85B355099E1}"/>
            </a:ext>
          </a:extLst>
        </xdr:cNvPr>
        <xdr:cNvSpPr txBox="1">
          <a:spLocks noChangeArrowheads="1"/>
        </xdr:cNvSpPr>
      </xdr:nvSpPr>
      <xdr:spPr bwMode="auto">
        <a:xfrm>
          <a:off x="19030950" y="73380600"/>
          <a:ext cx="76200" cy="24588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58811"/>
    <xdr:sp macro="" textlink="">
      <xdr:nvSpPr>
        <xdr:cNvPr id="407" name="Text Box 45">
          <a:extLst>
            <a:ext uri="{FF2B5EF4-FFF2-40B4-BE49-F238E27FC236}">
              <a16:creationId xmlns="" xmlns:a16="http://schemas.microsoft.com/office/drawing/2014/main" id="{9228D5B4-CFBA-42FB-AEA2-1786EC4A138C}"/>
            </a:ext>
          </a:extLst>
        </xdr:cNvPr>
        <xdr:cNvSpPr txBox="1">
          <a:spLocks noChangeArrowheads="1"/>
        </xdr:cNvSpPr>
      </xdr:nvSpPr>
      <xdr:spPr bwMode="auto">
        <a:xfrm>
          <a:off x="19030950" y="73380600"/>
          <a:ext cx="76200" cy="24588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58811"/>
    <xdr:sp macro="" textlink="">
      <xdr:nvSpPr>
        <xdr:cNvPr id="408" name="Text Box 47">
          <a:extLst>
            <a:ext uri="{FF2B5EF4-FFF2-40B4-BE49-F238E27FC236}">
              <a16:creationId xmlns="" xmlns:a16="http://schemas.microsoft.com/office/drawing/2014/main" id="{12E48F48-CF33-49BD-B905-3C259C4A785E}"/>
            </a:ext>
          </a:extLst>
        </xdr:cNvPr>
        <xdr:cNvSpPr txBox="1">
          <a:spLocks noChangeArrowheads="1"/>
        </xdr:cNvSpPr>
      </xdr:nvSpPr>
      <xdr:spPr bwMode="auto">
        <a:xfrm>
          <a:off x="19030950" y="73380600"/>
          <a:ext cx="76200" cy="24588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58811"/>
    <xdr:sp macro="" textlink="">
      <xdr:nvSpPr>
        <xdr:cNvPr id="409" name="Text Box 48">
          <a:extLst>
            <a:ext uri="{FF2B5EF4-FFF2-40B4-BE49-F238E27FC236}">
              <a16:creationId xmlns="" xmlns:a16="http://schemas.microsoft.com/office/drawing/2014/main" id="{60110583-CC91-4019-8F2A-2BADA5146958}"/>
            </a:ext>
          </a:extLst>
        </xdr:cNvPr>
        <xdr:cNvSpPr txBox="1">
          <a:spLocks noChangeArrowheads="1"/>
        </xdr:cNvSpPr>
      </xdr:nvSpPr>
      <xdr:spPr bwMode="auto">
        <a:xfrm>
          <a:off x="19030950" y="73380600"/>
          <a:ext cx="76200" cy="24588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4186918"/>
    <xdr:sp macro="" textlink="">
      <xdr:nvSpPr>
        <xdr:cNvPr id="410" name="Text Box 803">
          <a:extLst>
            <a:ext uri="{FF2B5EF4-FFF2-40B4-BE49-F238E27FC236}">
              <a16:creationId xmlns="" xmlns:a16="http://schemas.microsoft.com/office/drawing/2014/main" id="{FB7DCEE3-4133-4878-B5ED-6D2D405B8EEF}"/>
            </a:ext>
          </a:extLst>
        </xdr:cNvPr>
        <xdr:cNvSpPr txBox="1">
          <a:spLocks noChangeArrowheads="1"/>
        </xdr:cNvSpPr>
      </xdr:nvSpPr>
      <xdr:spPr bwMode="auto">
        <a:xfrm>
          <a:off x="19030950" y="73380600"/>
          <a:ext cx="76200" cy="418691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61925"/>
    <xdr:sp macro="" textlink="">
      <xdr:nvSpPr>
        <xdr:cNvPr id="411" name="Text Box 804">
          <a:extLst>
            <a:ext uri="{FF2B5EF4-FFF2-40B4-BE49-F238E27FC236}">
              <a16:creationId xmlns="" xmlns:a16="http://schemas.microsoft.com/office/drawing/2014/main" id="{8E2BD98A-F2DE-4570-9307-12FA932D57C2}"/>
            </a:ext>
          </a:extLst>
        </xdr:cNvPr>
        <xdr:cNvSpPr txBox="1">
          <a:spLocks noChangeArrowheads="1"/>
        </xdr:cNvSpPr>
      </xdr:nvSpPr>
      <xdr:spPr bwMode="auto">
        <a:xfrm>
          <a:off x="19030950" y="73380600"/>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52400"/>
    <xdr:sp macro="" textlink="">
      <xdr:nvSpPr>
        <xdr:cNvPr id="412" name="Text Box 804">
          <a:extLst>
            <a:ext uri="{FF2B5EF4-FFF2-40B4-BE49-F238E27FC236}">
              <a16:creationId xmlns="" xmlns:a16="http://schemas.microsoft.com/office/drawing/2014/main" id="{DD6FC8D5-61B8-4E29-9ED0-516A3E474CF0}"/>
            </a:ext>
          </a:extLst>
        </xdr:cNvPr>
        <xdr:cNvSpPr txBox="1">
          <a:spLocks noChangeArrowheads="1"/>
        </xdr:cNvSpPr>
      </xdr:nvSpPr>
      <xdr:spPr bwMode="auto">
        <a:xfrm>
          <a:off x="19030950" y="733806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13" name="Text Box 277747">
          <a:extLst>
            <a:ext uri="{FF2B5EF4-FFF2-40B4-BE49-F238E27FC236}">
              <a16:creationId xmlns="" xmlns:a16="http://schemas.microsoft.com/office/drawing/2014/main" id="{9B8AA33A-3EE0-47A8-8F9E-9FAE78B9E831}"/>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14" name="Text Box 277748">
          <a:extLst>
            <a:ext uri="{FF2B5EF4-FFF2-40B4-BE49-F238E27FC236}">
              <a16:creationId xmlns="" xmlns:a16="http://schemas.microsoft.com/office/drawing/2014/main" id="{10DFF131-6071-4356-8E10-786A0D4B13A6}"/>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15" name="Text Box 277749">
          <a:extLst>
            <a:ext uri="{FF2B5EF4-FFF2-40B4-BE49-F238E27FC236}">
              <a16:creationId xmlns="" xmlns:a16="http://schemas.microsoft.com/office/drawing/2014/main" id="{1081D0BD-E1AA-4052-8460-7300C4A50F29}"/>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16" name="Text Box 277750">
          <a:extLst>
            <a:ext uri="{FF2B5EF4-FFF2-40B4-BE49-F238E27FC236}">
              <a16:creationId xmlns="" xmlns:a16="http://schemas.microsoft.com/office/drawing/2014/main" id="{E5F9BAE1-93BA-4EED-A695-FDEAF0F4B484}"/>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17" name="Text Box 277023">
          <a:extLst>
            <a:ext uri="{FF2B5EF4-FFF2-40B4-BE49-F238E27FC236}">
              <a16:creationId xmlns="" xmlns:a16="http://schemas.microsoft.com/office/drawing/2014/main" id="{0F23F986-E42E-4642-9186-A2D0E6B6AF0F}"/>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18" name="Text Box 277024">
          <a:extLst>
            <a:ext uri="{FF2B5EF4-FFF2-40B4-BE49-F238E27FC236}">
              <a16:creationId xmlns="" xmlns:a16="http://schemas.microsoft.com/office/drawing/2014/main" id="{B445934B-8015-4C9E-A42F-9047F36F8567}"/>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19" name="Text Box 277025">
          <a:extLst>
            <a:ext uri="{FF2B5EF4-FFF2-40B4-BE49-F238E27FC236}">
              <a16:creationId xmlns="" xmlns:a16="http://schemas.microsoft.com/office/drawing/2014/main" id="{E3E4E3AF-DA39-4B8B-9257-CB26750BF681}"/>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20" name="Text Box 277026">
          <a:extLst>
            <a:ext uri="{FF2B5EF4-FFF2-40B4-BE49-F238E27FC236}">
              <a16:creationId xmlns="" xmlns:a16="http://schemas.microsoft.com/office/drawing/2014/main" id="{B0420171-E8FB-4D5A-95DD-17035CAB7B3B}"/>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21" name="Text Box 198">
          <a:extLst>
            <a:ext uri="{FF2B5EF4-FFF2-40B4-BE49-F238E27FC236}">
              <a16:creationId xmlns="" xmlns:a16="http://schemas.microsoft.com/office/drawing/2014/main" id="{0ACF3686-1F84-4AE7-8C1D-ABC244CB981D}"/>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22" name="Text Box 199">
          <a:extLst>
            <a:ext uri="{FF2B5EF4-FFF2-40B4-BE49-F238E27FC236}">
              <a16:creationId xmlns="" xmlns:a16="http://schemas.microsoft.com/office/drawing/2014/main" id="{B50C40B4-7F42-46F6-8122-93D3153A9067}"/>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23" name="Text Box 208">
          <a:extLst>
            <a:ext uri="{FF2B5EF4-FFF2-40B4-BE49-F238E27FC236}">
              <a16:creationId xmlns="" xmlns:a16="http://schemas.microsoft.com/office/drawing/2014/main" id="{B296CF64-9BDA-45F5-A1B0-BEDED413EA99}"/>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24" name="Text Box 209">
          <a:extLst>
            <a:ext uri="{FF2B5EF4-FFF2-40B4-BE49-F238E27FC236}">
              <a16:creationId xmlns="" xmlns:a16="http://schemas.microsoft.com/office/drawing/2014/main" id="{1114FD00-B0D6-4192-9EEA-2B99326F6DC2}"/>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25" name="Text Box 210">
          <a:extLst>
            <a:ext uri="{FF2B5EF4-FFF2-40B4-BE49-F238E27FC236}">
              <a16:creationId xmlns="" xmlns:a16="http://schemas.microsoft.com/office/drawing/2014/main" id="{9DF420BD-4FAD-4327-AFBB-F7EDCB7BA642}"/>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26" name="Text Box 211">
          <a:extLst>
            <a:ext uri="{FF2B5EF4-FFF2-40B4-BE49-F238E27FC236}">
              <a16:creationId xmlns="" xmlns:a16="http://schemas.microsoft.com/office/drawing/2014/main" id="{75451D55-E354-4B9E-AF4A-41DE0E562813}"/>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27" name="Text Box 43">
          <a:extLst>
            <a:ext uri="{FF2B5EF4-FFF2-40B4-BE49-F238E27FC236}">
              <a16:creationId xmlns="" xmlns:a16="http://schemas.microsoft.com/office/drawing/2014/main" id="{298C0498-2AE6-4AA7-AB1B-1F142F5D544D}"/>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28" name="Text Box 45">
          <a:extLst>
            <a:ext uri="{FF2B5EF4-FFF2-40B4-BE49-F238E27FC236}">
              <a16:creationId xmlns="" xmlns:a16="http://schemas.microsoft.com/office/drawing/2014/main" id="{E0D88DEA-7E60-44FF-BE78-C4E4BFFC1BEA}"/>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29" name="Text Box 47">
          <a:extLst>
            <a:ext uri="{FF2B5EF4-FFF2-40B4-BE49-F238E27FC236}">
              <a16:creationId xmlns="" xmlns:a16="http://schemas.microsoft.com/office/drawing/2014/main" id="{8719B056-B029-4B94-87C1-275E2D480104}"/>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30" name="Text Box 48">
          <a:extLst>
            <a:ext uri="{FF2B5EF4-FFF2-40B4-BE49-F238E27FC236}">
              <a16:creationId xmlns="" xmlns:a16="http://schemas.microsoft.com/office/drawing/2014/main" id="{C95F97D5-8533-4ED2-AA72-F5661AD676B9}"/>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31" name="Text Box 394">
          <a:extLst>
            <a:ext uri="{FF2B5EF4-FFF2-40B4-BE49-F238E27FC236}">
              <a16:creationId xmlns="" xmlns:a16="http://schemas.microsoft.com/office/drawing/2014/main" id="{174DBDF4-2002-450C-8839-B027EF159199}"/>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32" name="Text Box 395">
          <a:extLst>
            <a:ext uri="{FF2B5EF4-FFF2-40B4-BE49-F238E27FC236}">
              <a16:creationId xmlns="" xmlns:a16="http://schemas.microsoft.com/office/drawing/2014/main" id="{57ED31F8-3998-42A1-A236-D21832380BEB}"/>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33" name="Text Box 396">
          <a:extLst>
            <a:ext uri="{FF2B5EF4-FFF2-40B4-BE49-F238E27FC236}">
              <a16:creationId xmlns="" xmlns:a16="http://schemas.microsoft.com/office/drawing/2014/main" id="{8AABD877-B31A-4BF0-BBE2-5EB5FD9196FF}"/>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34" name="Text Box 397">
          <a:extLst>
            <a:ext uri="{FF2B5EF4-FFF2-40B4-BE49-F238E27FC236}">
              <a16:creationId xmlns="" xmlns:a16="http://schemas.microsoft.com/office/drawing/2014/main" id="{4F8E8AEF-6E89-4D3D-B5D4-1DB174BD6788}"/>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35" name="Text Box 43">
          <a:extLst>
            <a:ext uri="{FF2B5EF4-FFF2-40B4-BE49-F238E27FC236}">
              <a16:creationId xmlns="" xmlns:a16="http://schemas.microsoft.com/office/drawing/2014/main" id="{2EF4576F-7CFA-4478-BCB9-DF7411E218D4}"/>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36" name="Text Box 45">
          <a:extLst>
            <a:ext uri="{FF2B5EF4-FFF2-40B4-BE49-F238E27FC236}">
              <a16:creationId xmlns="" xmlns:a16="http://schemas.microsoft.com/office/drawing/2014/main" id="{2148463F-5FE0-4145-BE96-FC59A5F0A26C}"/>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37" name="Text Box 47">
          <a:extLst>
            <a:ext uri="{FF2B5EF4-FFF2-40B4-BE49-F238E27FC236}">
              <a16:creationId xmlns="" xmlns:a16="http://schemas.microsoft.com/office/drawing/2014/main" id="{29C27A6D-1E20-4742-AED1-3BEF037EC7A4}"/>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02997"/>
    <xdr:sp macro="" textlink="">
      <xdr:nvSpPr>
        <xdr:cNvPr id="438" name="Text Box 48">
          <a:extLst>
            <a:ext uri="{FF2B5EF4-FFF2-40B4-BE49-F238E27FC236}">
              <a16:creationId xmlns="" xmlns:a16="http://schemas.microsoft.com/office/drawing/2014/main" id="{D23F150A-A640-44E0-B186-6562C7396567}"/>
            </a:ext>
          </a:extLst>
        </xdr:cNvPr>
        <xdr:cNvSpPr txBox="1">
          <a:spLocks noChangeArrowheads="1"/>
        </xdr:cNvSpPr>
      </xdr:nvSpPr>
      <xdr:spPr bwMode="auto">
        <a:xfrm>
          <a:off x="19030950" y="73380600"/>
          <a:ext cx="76200" cy="22029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128282"/>
    <xdr:sp macro="" textlink="">
      <xdr:nvSpPr>
        <xdr:cNvPr id="439" name="Text Box 607">
          <a:extLst>
            <a:ext uri="{FF2B5EF4-FFF2-40B4-BE49-F238E27FC236}">
              <a16:creationId xmlns="" xmlns:a16="http://schemas.microsoft.com/office/drawing/2014/main" id="{B99425A7-FA7F-407D-BE46-ABDDABD036B1}"/>
            </a:ext>
          </a:extLst>
        </xdr:cNvPr>
        <xdr:cNvSpPr txBox="1">
          <a:spLocks noChangeArrowheads="1"/>
        </xdr:cNvSpPr>
      </xdr:nvSpPr>
      <xdr:spPr bwMode="auto">
        <a:xfrm>
          <a:off x="19030950" y="73380600"/>
          <a:ext cx="76200" cy="31282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128282"/>
    <xdr:sp macro="" textlink="">
      <xdr:nvSpPr>
        <xdr:cNvPr id="440" name="Text Box 608">
          <a:extLst>
            <a:ext uri="{FF2B5EF4-FFF2-40B4-BE49-F238E27FC236}">
              <a16:creationId xmlns="" xmlns:a16="http://schemas.microsoft.com/office/drawing/2014/main" id="{7676C9B2-2369-4739-A34F-A1E403743326}"/>
            </a:ext>
          </a:extLst>
        </xdr:cNvPr>
        <xdr:cNvSpPr txBox="1">
          <a:spLocks noChangeArrowheads="1"/>
        </xdr:cNvSpPr>
      </xdr:nvSpPr>
      <xdr:spPr bwMode="auto">
        <a:xfrm>
          <a:off x="19030950" y="73380600"/>
          <a:ext cx="76200" cy="31282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41" name="Text Box 617">
          <a:extLst>
            <a:ext uri="{FF2B5EF4-FFF2-40B4-BE49-F238E27FC236}">
              <a16:creationId xmlns="" xmlns:a16="http://schemas.microsoft.com/office/drawing/2014/main" id="{FF400D42-D257-466C-9ACB-EB692A4230B1}"/>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42" name="Text Box 618">
          <a:extLst>
            <a:ext uri="{FF2B5EF4-FFF2-40B4-BE49-F238E27FC236}">
              <a16:creationId xmlns="" xmlns:a16="http://schemas.microsoft.com/office/drawing/2014/main" id="{E4CD95DC-318E-488D-B9AB-E755EA007042}"/>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43" name="Text Box 619">
          <a:extLst>
            <a:ext uri="{FF2B5EF4-FFF2-40B4-BE49-F238E27FC236}">
              <a16:creationId xmlns="" xmlns:a16="http://schemas.microsoft.com/office/drawing/2014/main" id="{B152A451-7DDB-4824-A78C-1AACBA515ABD}"/>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44" name="Text Box 620">
          <a:extLst>
            <a:ext uri="{FF2B5EF4-FFF2-40B4-BE49-F238E27FC236}">
              <a16:creationId xmlns="" xmlns:a16="http://schemas.microsoft.com/office/drawing/2014/main" id="{301CCEB8-E384-4397-A9D0-B6D0F9F4BC52}"/>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45" name="Text Box 43">
          <a:extLst>
            <a:ext uri="{FF2B5EF4-FFF2-40B4-BE49-F238E27FC236}">
              <a16:creationId xmlns="" xmlns:a16="http://schemas.microsoft.com/office/drawing/2014/main" id="{B5A037E4-54F0-4D67-AD5F-01619CC06760}"/>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46" name="Text Box 45">
          <a:extLst>
            <a:ext uri="{FF2B5EF4-FFF2-40B4-BE49-F238E27FC236}">
              <a16:creationId xmlns="" xmlns:a16="http://schemas.microsoft.com/office/drawing/2014/main" id="{48FB67E8-351D-4466-8FD9-966D0EC6BFAB}"/>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47" name="Text Box 47">
          <a:extLst>
            <a:ext uri="{FF2B5EF4-FFF2-40B4-BE49-F238E27FC236}">
              <a16:creationId xmlns="" xmlns:a16="http://schemas.microsoft.com/office/drawing/2014/main" id="{004C2ECF-184B-4843-A819-38C0B3647D89}"/>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22047"/>
    <xdr:sp macro="" textlink="">
      <xdr:nvSpPr>
        <xdr:cNvPr id="448" name="Text Box 48">
          <a:extLst>
            <a:ext uri="{FF2B5EF4-FFF2-40B4-BE49-F238E27FC236}">
              <a16:creationId xmlns="" xmlns:a16="http://schemas.microsoft.com/office/drawing/2014/main" id="{974C6109-9901-4D65-B84C-7047247C1D7B}"/>
            </a:ext>
          </a:extLst>
        </xdr:cNvPr>
        <xdr:cNvSpPr txBox="1">
          <a:spLocks noChangeArrowheads="1"/>
        </xdr:cNvSpPr>
      </xdr:nvSpPr>
      <xdr:spPr bwMode="auto">
        <a:xfrm>
          <a:off x="19030950" y="73380600"/>
          <a:ext cx="76200" cy="22220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4020911"/>
    <xdr:sp macro="" textlink="">
      <xdr:nvSpPr>
        <xdr:cNvPr id="449" name="Text Box 803">
          <a:extLst>
            <a:ext uri="{FF2B5EF4-FFF2-40B4-BE49-F238E27FC236}">
              <a16:creationId xmlns="" xmlns:a16="http://schemas.microsoft.com/office/drawing/2014/main" id="{C8EEE199-9836-4466-956D-6A69C7D8D037}"/>
            </a:ext>
          </a:extLst>
        </xdr:cNvPr>
        <xdr:cNvSpPr txBox="1">
          <a:spLocks noChangeArrowheads="1"/>
        </xdr:cNvSpPr>
      </xdr:nvSpPr>
      <xdr:spPr bwMode="auto">
        <a:xfrm>
          <a:off x="19030950" y="73380600"/>
          <a:ext cx="76200" cy="4020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50" name="Text Box 277747">
          <a:extLst>
            <a:ext uri="{FF2B5EF4-FFF2-40B4-BE49-F238E27FC236}">
              <a16:creationId xmlns="" xmlns:a16="http://schemas.microsoft.com/office/drawing/2014/main" id="{9E3184E0-974C-4F4D-A6CE-CA24CBA033D3}"/>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51" name="Text Box 277748">
          <a:extLst>
            <a:ext uri="{FF2B5EF4-FFF2-40B4-BE49-F238E27FC236}">
              <a16:creationId xmlns="" xmlns:a16="http://schemas.microsoft.com/office/drawing/2014/main" id="{E65948A4-A363-42C1-B27A-666A7F81BF99}"/>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52" name="Text Box 277749">
          <a:extLst>
            <a:ext uri="{FF2B5EF4-FFF2-40B4-BE49-F238E27FC236}">
              <a16:creationId xmlns="" xmlns:a16="http://schemas.microsoft.com/office/drawing/2014/main" id="{BE8CC813-A8F6-4B71-AD85-01F150E76A81}"/>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453" name="Text Box 277750">
          <a:extLst>
            <a:ext uri="{FF2B5EF4-FFF2-40B4-BE49-F238E27FC236}">
              <a16:creationId xmlns="" xmlns:a16="http://schemas.microsoft.com/office/drawing/2014/main" id="{D0CB0329-41B2-4430-ACE3-5D145104948E}"/>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54" name="Text Box 43">
          <a:extLst>
            <a:ext uri="{FF2B5EF4-FFF2-40B4-BE49-F238E27FC236}">
              <a16:creationId xmlns="" xmlns:a16="http://schemas.microsoft.com/office/drawing/2014/main" id="{F7E1C124-6689-4DBA-A549-5FDA0496092E}"/>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55" name="Text Box 45">
          <a:extLst>
            <a:ext uri="{FF2B5EF4-FFF2-40B4-BE49-F238E27FC236}">
              <a16:creationId xmlns="" xmlns:a16="http://schemas.microsoft.com/office/drawing/2014/main" id="{704C4A87-EA2D-48C2-B622-4B9210107503}"/>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56" name="Text Box 64">
          <a:extLst>
            <a:ext uri="{FF2B5EF4-FFF2-40B4-BE49-F238E27FC236}">
              <a16:creationId xmlns="" xmlns:a16="http://schemas.microsoft.com/office/drawing/2014/main" id="{98E76192-9D02-42E9-96D9-C1F702634681}"/>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57" name="Text Box 65">
          <a:extLst>
            <a:ext uri="{FF2B5EF4-FFF2-40B4-BE49-F238E27FC236}">
              <a16:creationId xmlns="" xmlns:a16="http://schemas.microsoft.com/office/drawing/2014/main" id="{9BDE4BC5-1534-4DDE-920C-1C414E5B3FD3}"/>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58" name="Text Box 66">
          <a:extLst>
            <a:ext uri="{FF2B5EF4-FFF2-40B4-BE49-F238E27FC236}">
              <a16:creationId xmlns="" xmlns:a16="http://schemas.microsoft.com/office/drawing/2014/main" id="{93175379-2C4E-4ADB-9E76-66DE451FB205}"/>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59" name="Text Box 67">
          <a:extLst>
            <a:ext uri="{FF2B5EF4-FFF2-40B4-BE49-F238E27FC236}">
              <a16:creationId xmlns="" xmlns:a16="http://schemas.microsoft.com/office/drawing/2014/main" id="{D541A333-3890-4726-9119-CEB8D5FDA31E}"/>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60" name="Text Box 81">
          <a:extLst>
            <a:ext uri="{FF2B5EF4-FFF2-40B4-BE49-F238E27FC236}">
              <a16:creationId xmlns="" xmlns:a16="http://schemas.microsoft.com/office/drawing/2014/main" id="{5A068B79-F400-485E-B8A8-91A2C30784D0}"/>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61" name="Text Box 82">
          <a:extLst>
            <a:ext uri="{FF2B5EF4-FFF2-40B4-BE49-F238E27FC236}">
              <a16:creationId xmlns="" xmlns:a16="http://schemas.microsoft.com/office/drawing/2014/main" id="{CA4AC477-E35B-48AB-81F6-0F5476E90DAE}"/>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62" name="Text Box 87">
          <a:extLst>
            <a:ext uri="{FF2B5EF4-FFF2-40B4-BE49-F238E27FC236}">
              <a16:creationId xmlns="" xmlns:a16="http://schemas.microsoft.com/office/drawing/2014/main" id="{9AACA05F-D0E7-4EBC-A214-A19062A445E7}"/>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63" name="Text Box 88">
          <a:extLst>
            <a:ext uri="{FF2B5EF4-FFF2-40B4-BE49-F238E27FC236}">
              <a16:creationId xmlns="" xmlns:a16="http://schemas.microsoft.com/office/drawing/2014/main" id="{C530E902-9FB4-46D9-8793-5D1FE388D156}"/>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64" name="Text Box 89">
          <a:extLst>
            <a:ext uri="{FF2B5EF4-FFF2-40B4-BE49-F238E27FC236}">
              <a16:creationId xmlns="" xmlns:a16="http://schemas.microsoft.com/office/drawing/2014/main" id="{2EF13D9E-3909-4518-A75D-1B7F93963D56}"/>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465" name="Text Box 90">
          <a:extLst>
            <a:ext uri="{FF2B5EF4-FFF2-40B4-BE49-F238E27FC236}">
              <a16:creationId xmlns="" xmlns:a16="http://schemas.microsoft.com/office/drawing/2014/main" id="{49EA2766-D6B2-4130-8239-D72ECC0AF18E}"/>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466" name="Text Box 68">
          <a:extLst>
            <a:ext uri="{FF2B5EF4-FFF2-40B4-BE49-F238E27FC236}">
              <a16:creationId xmlns="" xmlns:a16="http://schemas.microsoft.com/office/drawing/2014/main" id="{D0D686A1-F0D1-448E-BD39-015D660B5635}"/>
            </a:ext>
          </a:extLst>
        </xdr:cNvPr>
        <xdr:cNvSpPr txBox="1">
          <a:spLocks noChangeArrowheads="1"/>
        </xdr:cNvSpPr>
      </xdr:nvSpPr>
      <xdr:spPr bwMode="auto">
        <a:xfrm>
          <a:off x="1480185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467" name="Text Box 69">
          <a:extLst>
            <a:ext uri="{FF2B5EF4-FFF2-40B4-BE49-F238E27FC236}">
              <a16:creationId xmlns="" xmlns:a16="http://schemas.microsoft.com/office/drawing/2014/main" id="{363E69B3-E052-4857-801C-3114C8E22B64}"/>
            </a:ext>
          </a:extLst>
        </xdr:cNvPr>
        <xdr:cNvSpPr txBox="1">
          <a:spLocks noChangeArrowheads="1"/>
        </xdr:cNvSpPr>
      </xdr:nvSpPr>
      <xdr:spPr bwMode="auto">
        <a:xfrm>
          <a:off x="1480185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468" name="Text Box 91">
          <a:extLst>
            <a:ext uri="{FF2B5EF4-FFF2-40B4-BE49-F238E27FC236}">
              <a16:creationId xmlns="" xmlns:a16="http://schemas.microsoft.com/office/drawing/2014/main" id="{3DCCBFBE-55B9-4FB0-A320-875069BBD7EF}"/>
            </a:ext>
          </a:extLst>
        </xdr:cNvPr>
        <xdr:cNvSpPr txBox="1">
          <a:spLocks noChangeArrowheads="1"/>
        </xdr:cNvSpPr>
      </xdr:nvSpPr>
      <xdr:spPr bwMode="auto">
        <a:xfrm>
          <a:off x="1480185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469" name="Text Box 92">
          <a:extLst>
            <a:ext uri="{FF2B5EF4-FFF2-40B4-BE49-F238E27FC236}">
              <a16:creationId xmlns="" xmlns:a16="http://schemas.microsoft.com/office/drawing/2014/main" id="{875DF298-44FC-4044-AB24-823517985156}"/>
            </a:ext>
          </a:extLst>
        </xdr:cNvPr>
        <xdr:cNvSpPr txBox="1">
          <a:spLocks noChangeArrowheads="1"/>
        </xdr:cNvSpPr>
      </xdr:nvSpPr>
      <xdr:spPr bwMode="auto">
        <a:xfrm>
          <a:off x="1480185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51732"/>
    <xdr:sp macro="" textlink="">
      <xdr:nvSpPr>
        <xdr:cNvPr id="470" name="Text Box 67">
          <a:extLst>
            <a:ext uri="{FF2B5EF4-FFF2-40B4-BE49-F238E27FC236}">
              <a16:creationId xmlns="" xmlns:a16="http://schemas.microsoft.com/office/drawing/2014/main" id="{5EB24E8C-94E4-4AC1-9A70-67C25F841786}"/>
            </a:ext>
          </a:extLst>
        </xdr:cNvPr>
        <xdr:cNvSpPr txBox="1">
          <a:spLocks noChangeArrowheads="1"/>
        </xdr:cNvSpPr>
      </xdr:nvSpPr>
      <xdr:spPr bwMode="auto">
        <a:xfrm>
          <a:off x="16916400" y="733806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51732"/>
    <xdr:sp macro="" textlink="">
      <xdr:nvSpPr>
        <xdr:cNvPr id="471" name="Text Box 68">
          <a:extLst>
            <a:ext uri="{FF2B5EF4-FFF2-40B4-BE49-F238E27FC236}">
              <a16:creationId xmlns="" xmlns:a16="http://schemas.microsoft.com/office/drawing/2014/main" id="{FB3D5989-6440-4A74-AADF-F45C094E68F7}"/>
            </a:ext>
          </a:extLst>
        </xdr:cNvPr>
        <xdr:cNvSpPr txBox="1">
          <a:spLocks noChangeArrowheads="1"/>
        </xdr:cNvSpPr>
      </xdr:nvSpPr>
      <xdr:spPr bwMode="auto">
        <a:xfrm>
          <a:off x="16916400" y="733806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51732"/>
    <xdr:sp macro="" textlink="">
      <xdr:nvSpPr>
        <xdr:cNvPr id="472" name="Text Box 145">
          <a:extLst>
            <a:ext uri="{FF2B5EF4-FFF2-40B4-BE49-F238E27FC236}">
              <a16:creationId xmlns="" xmlns:a16="http://schemas.microsoft.com/office/drawing/2014/main" id="{68DBB736-27D5-4663-90B8-A3C6D03C750F}"/>
            </a:ext>
          </a:extLst>
        </xdr:cNvPr>
        <xdr:cNvSpPr txBox="1">
          <a:spLocks noChangeArrowheads="1"/>
        </xdr:cNvSpPr>
      </xdr:nvSpPr>
      <xdr:spPr bwMode="auto">
        <a:xfrm>
          <a:off x="16916400" y="733806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51732"/>
    <xdr:sp macro="" textlink="">
      <xdr:nvSpPr>
        <xdr:cNvPr id="473" name="Text Box 146">
          <a:extLst>
            <a:ext uri="{FF2B5EF4-FFF2-40B4-BE49-F238E27FC236}">
              <a16:creationId xmlns="" xmlns:a16="http://schemas.microsoft.com/office/drawing/2014/main" id="{CD6BF0A6-F197-481A-BEA9-5411E0AE3A5E}"/>
            </a:ext>
          </a:extLst>
        </xdr:cNvPr>
        <xdr:cNvSpPr txBox="1">
          <a:spLocks noChangeArrowheads="1"/>
        </xdr:cNvSpPr>
      </xdr:nvSpPr>
      <xdr:spPr bwMode="auto">
        <a:xfrm>
          <a:off x="16916400" y="733806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32857"/>
    <xdr:sp macro="" textlink="">
      <xdr:nvSpPr>
        <xdr:cNvPr id="474" name="Text Box 277023">
          <a:extLst>
            <a:ext uri="{FF2B5EF4-FFF2-40B4-BE49-F238E27FC236}">
              <a16:creationId xmlns="" xmlns:a16="http://schemas.microsoft.com/office/drawing/2014/main" id="{04767055-7965-4AA8-80AE-C6FE3A22B84C}"/>
            </a:ext>
          </a:extLst>
        </xdr:cNvPr>
        <xdr:cNvSpPr txBox="1">
          <a:spLocks noChangeArrowheads="1"/>
        </xdr:cNvSpPr>
      </xdr:nvSpPr>
      <xdr:spPr bwMode="auto">
        <a:xfrm>
          <a:off x="17973675"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32857"/>
    <xdr:sp macro="" textlink="">
      <xdr:nvSpPr>
        <xdr:cNvPr id="475" name="Text Box 277024">
          <a:extLst>
            <a:ext uri="{FF2B5EF4-FFF2-40B4-BE49-F238E27FC236}">
              <a16:creationId xmlns="" xmlns:a16="http://schemas.microsoft.com/office/drawing/2014/main" id="{5BE208AE-41D8-4BA3-B4B7-AB5CCEBFAFD9}"/>
            </a:ext>
          </a:extLst>
        </xdr:cNvPr>
        <xdr:cNvSpPr txBox="1">
          <a:spLocks noChangeArrowheads="1"/>
        </xdr:cNvSpPr>
      </xdr:nvSpPr>
      <xdr:spPr bwMode="auto">
        <a:xfrm>
          <a:off x="17973675"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32857"/>
    <xdr:sp macro="" textlink="">
      <xdr:nvSpPr>
        <xdr:cNvPr id="476" name="Text Box 277025">
          <a:extLst>
            <a:ext uri="{FF2B5EF4-FFF2-40B4-BE49-F238E27FC236}">
              <a16:creationId xmlns="" xmlns:a16="http://schemas.microsoft.com/office/drawing/2014/main" id="{0846F9F2-2CB0-4783-824B-DF8683774A75}"/>
            </a:ext>
          </a:extLst>
        </xdr:cNvPr>
        <xdr:cNvSpPr txBox="1">
          <a:spLocks noChangeArrowheads="1"/>
        </xdr:cNvSpPr>
      </xdr:nvSpPr>
      <xdr:spPr bwMode="auto">
        <a:xfrm>
          <a:off x="17973675"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32857"/>
    <xdr:sp macro="" textlink="">
      <xdr:nvSpPr>
        <xdr:cNvPr id="477" name="Text Box 277026">
          <a:extLst>
            <a:ext uri="{FF2B5EF4-FFF2-40B4-BE49-F238E27FC236}">
              <a16:creationId xmlns="" xmlns:a16="http://schemas.microsoft.com/office/drawing/2014/main" id="{8FE49583-7988-4FAF-92F0-402B98513438}"/>
            </a:ext>
          </a:extLst>
        </xdr:cNvPr>
        <xdr:cNvSpPr txBox="1">
          <a:spLocks noChangeArrowheads="1"/>
        </xdr:cNvSpPr>
      </xdr:nvSpPr>
      <xdr:spPr bwMode="auto">
        <a:xfrm>
          <a:off x="17973675"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841797"/>
    <xdr:sp macro="" textlink="">
      <xdr:nvSpPr>
        <xdr:cNvPr id="478" name="Text Box 198">
          <a:extLst>
            <a:ext uri="{FF2B5EF4-FFF2-40B4-BE49-F238E27FC236}">
              <a16:creationId xmlns="" xmlns:a16="http://schemas.microsoft.com/office/drawing/2014/main" id="{F3FA0C27-5A4B-405A-BA1C-40F203925BD2}"/>
            </a:ext>
          </a:extLst>
        </xdr:cNvPr>
        <xdr:cNvSpPr txBox="1">
          <a:spLocks noChangeArrowheads="1"/>
        </xdr:cNvSpPr>
      </xdr:nvSpPr>
      <xdr:spPr bwMode="auto">
        <a:xfrm>
          <a:off x="17973675" y="73380600"/>
          <a:ext cx="76200" cy="78417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841797"/>
    <xdr:sp macro="" textlink="">
      <xdr:nvSpPr>
        <xdr:cNvPr id="479" name="Text Box 199">
          <a:extLst>
            <a:ext uri="{FF2B5EF4-FFF2-40B4-BE49-F238E27FC236}">
              <a16:creationId xmlns="" xmlns:a16="http://schemas.microsoft.com/office/drawing/2014/main" id="{3814729C-B1EE-47CA-B53E-E6E6BBA893AF}"/>
            </a:ext>
          </a:extLst>
        </xdr:cNvPr>
        <xdr:cNvSpPr txBox="1">
          <a:spLocks noChangeArrowheads="1"/>
        </xdr:cNvSpPr>
      </xdr:nvSpPr>
      <xdr:spPr bwMode="auto">
        <a:xfrm>
          <a:off x="17973675" y="73380600"/>
          <a:ext cx="76200" cy="78417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80" name="Text Box 208">
          <a:extLst>
            <a:ext uri="{FF2B5EF4-FFF2-40B4-BE49-F238E27FC236}">
              <a16:creationId xmlns="" xmlns:a16="http://schemas.microsoft.com/office/drawing/2014/main" id="{C2CEA156-DC47-4323-8B2A-A32A0B65C405}"/>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81" name="Text Box 209">
          <a:extLst>
            <a:ext uri="{FF2B5EF4-FFF2-40B4-BE49-F238E27FC236}">
              <a16:creationId xmlns="" xmlns:a16="http://schemas.microsoft.com/office/drawing/2014/main" id="{1D0FC329-8A1E-4F25-BBA6-32252F55942D}"/>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82" name="Text Box 210">
          <a:extLst>
            <a:ext uri="{FF2B5EF4-FFF2-40B4-BE49-F238E27FC236}">
              <a16:creationId xmlns="" xmlns:a16="http://schemas.microsoft.com/office/drawing/2014/main" id="{80D4C99E-3637-4498-896D-FAAD3A22F74F}"/>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83" name="Text Box 211">
          <a:extLst>
            <a:ext uri="{FF2B5EF4-FFF2-40B4-BE49-F238E27FC236}">
              <a16:creationId xmlns="" xmlns:a16="http://schemas.microsoft.com/office/drawing/2014/main" id="{D8A09440-FF2B-402B-A919-2D7C204F57F5}"/>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84" name="Text Box 43">
          <a:extLst>
            <a:ext uri="{FF2B5EF4-FFF2-40B4-BE49-F238E27FC236}">
              <a16:creationId xmlns="" xmlns:a16="http://schemas.microsoft.com/office/drawing/2014/main" id="{188B149C-4C70-4130-A391-F5C1A1897B3D}"/>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85" name="Text Box 45">
          <a:extLst>
            <a:ext uri="{FF2B5EF4-FFF2-40B4-BE49-F238E27FC236}">
              <a16:creationId xmlns="" xmlns:a16="http://schemas.microsoft.com/office/drawing/2014/main" id="{2402900E-5527-4E0A-B62C-0B126AF38A4F}"/>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86" name="Text Box 47">
          <a:extLst>
            <a:ext uri="{FF2B5EF4-FFF2-40B4-BE49-F238E27FC236}">
              <a16:creationId xmlns="" xmlns:a16="http://schemas.microsoft.com/office/drawing/2014/main" id="{4E4C2455-085C-400E-8AFF-A62DBEF2232C}"/>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87" name="Text Box 48">
          <a:extLst>
            <a:ext uri="{FF2B5EF4-FFF2-40B4-BE49-F238E27FC236}">
              <a16:creationId xmlns="" xmlns:a16="http://schemas.microsoft.com/office/drawing/2014/main" id="{DE6E8024-D417-403B-B28F-31F5382A8420}"/>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335736"/>
    <xdr:sp macro="" textlink="">
      <xdr:nvSpPr>
        <xdr:cNvPr id="488" name="Text Box 394">
          <a:extLst>
            <a:ext uri="{FF2B5EF4-FFF2-40B4-BE49-F238E27FC236}">
              <a16:creationId xmlns="" xmlns:a16="http://schemas.microsoft.com/office/drawing/2014/main" id="{7CF1A4E6-68E8-4178-9DC2-20690602C72F}"/>
            </a:ext>
          </a:extLst>
        </xdr:cNvPr>
        <xdr:cNvSpPr txBox="1">
          <a:spLocks noChangeArrowheads="1"/>
        </xdr:cNvSpPr>
      </xdr:nvSpPr>
      <xdr:spPr bwMode="auto">
        <a:xfrm>
          <a:off x="17973675" y="73380600"/>
          <a:ext cx="76200" cy="83357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335736"/>
    <xdr:sp macro="" textlink="">
      <xdr:nvSpPr>
        <xdr:cNvPr id="489" name="Text Box 395">
          <a:extLst>
            <a:ext uri="{FF2B5EF4-FFF2-40B4-BE49-F238E27FC236}">
              <a16:creationId xmlns="" xmlns:a16="http://schemas.microsoft.com/office/drawing/2014/main" id="{A492F3A5-96DB-410A-9087-F44A22178E27}"/>
            </a:ext>
          </a:extLst>
        </xdr:cNvPr>
        <xdr:cNvSpPr txBox="1">
          <a:spLocks noChangeArrowheads="1"/>
        </xdr:cNvSpPr>
      </xdr:nvSpPr>
      <xdr:spPr bwMode="auto">
        <a:xfrm>
          <a:off x="17973675" y="73380600"/>
          <a:ext cx="76200" cy="83357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335736"/>
    <xdr:sp macro="" textlink="">
      <xdr:nvSpPr>
        <xdr:cNvPr id="490" name="Text Box 396">
          <a:extLst>
            <a:ext uri="{FF2B5EF4-FFF2-40B4-BE49-F238E27FC236}">
              <a16:creationId xmlns="" xmlns:a16="http://schemas.microsoft.com/office/drawing/2014/main" id="{2332D1F0-66E7-4629-812B-082E37900CC3}"/>
            </a:ext>
          </a:extLst>
        </xdr:cNvPr>
        <xdr:cNvSpPr txBox="1">
          <a:spLocks noChangeArrowheads="1"/>
        </xdr:cNvSpPr>
      </xdr:nvSpPr>
      <xdr:spPr bwMode="auto">
        <a:xfrm>
          <a:off x="17973675" y="73380600"/>
          <a:ext cx="76200" cy="83357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335736"/>
    <xdr:sp macro="" textlink="">
      <xdr:nvSpPr>
        <xdr:cNvPr id="491" name="Text Box 397">
          <a:extLst>
            <a:ext uri="{FF2B5EF4-FFF2-40B4-BE49-F238E27FC236}">
              <a16:creationId xmlns="" xmlns:a16="http://schemas.microsoft.com/office/drawing/2014/main" id="{8263C23F-B536-44DC-ACC3-28D296230D34}"/>
            </a:ext>
          </a:extLst>
        </xdr:cNvPr>
        <xdr:cNvSpPr txBox="1">
          <a:spLocks noChangeArrowheads="1"/>
        </xdr:cNvSpPr>
      </xdr:nvSpPr>
      <xdr:spPr bwMode="auto">
        <a:xfrm>
          <a:off x="17973675" y="73380600"/>
          <a:ext cx="76200" cy="83357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92" name="Text Box 43">
          <a:extLst>
            <a:ext uri="{FF2B5EF4-FFF2-40B4-BE49-F238E27FC236}">
              <a16:creationId xmlns="" xmlns:a16="http://schemas.microsoft.com/office/drawing/2014/main" id="{35936440-E12B-4543-8FC0-4FFB0B550262}"/>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93" name="Text Box 45">
          <a:extLst>
            <a:ext uri="{FF2B5EF4-FFF2-40B4-BE49-F238E27FC236}">
              <a16:creationId xmlns="" xmlns:a16="http://schemas.microsoft.com/office/drawing/2014/main" id="{6374115F-AC19-4F5B-B278-44589D488603}"/>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94" name="Text Box 47">
          <a:extLst>
            <a:ext uri="{FF2B5EF4-FFF2-40B4-BE49-F238E27FC236}">
              <a16:creationId xmlns="" xmlns:a16="http://schemas.microsoft.com/office/drawing/2014/main" id="{09B77E03-E3A7-4EC0-9EEF-FADBE5EB0CA1}"/>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495" name="Text Box 48">
          <a:extLst>
            <a:ext uri="{FF2B5EF4-FFF2-40B4-BE49-F238E27FC236}">
              <a16:creationId xmlns="" xmlns:a16="http://schemas.microsoft.com/office/drawing/2014/main" id="{56723AF6-D51D-4698-8113-54F47D88F5D4}"/>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4501132"/>
    <xdr:sp macro="" textlink="">
      <xdr:nvSpPr>
        <xdr:cNvPr id="496" name="Text Box 607">
          <a:extLst>
            <a:ext uri="{FF2B5EF4-FFF2-40B4-BE49-F238E27FC236}">
              <a16:creationId xmlns="" xmlns:a16="http://schemas.microsoft.com/office/drawing/2014/main" id="{63DFD7CF-F131-4251-B599-B29FE4F0F67D}"/>
            </a:ext>
          </a:extLst>
        </xdr:cNvPr>
        <xdr:cNvSpPr txBox="1">
          <a:spLocks noChangeArrowheads="1"/>
        </xdr:cNvSpPr>
      </xdr:nvSpPr>
      <xdr:spPr bwMode="auto">
        <a:xfrm>
          <a:off x="17973675" y="73380600"/>
          <a:ext cx="76200" cy="145011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4501132"/>
    <xdr:sp macro="" textlink="">
      <xdr:nvSpPr>
        <xdr:cNvPr id="497" name="Text Box 608">
          <a:extLst>
            <a:ext uri="{FF2B5EF4-FFF2-40B4-BE49-F238E27FC236}">
              <a16:creationId xmlns="" xmlns:a16="http://schemas.microsoft.com/office/drawing/2014/main" id="{1E8A021C-70E4-45E2-BFC4-91CA3A9754E2}"/>
            </a:ext>
          </a:extLst>
        </xdr:cNvPr>
        <xdr:cNvSpPr txBox="1">
          <a:spLocks noChangeArrowheads="1"/>
        </xdr:cNvSpPr>
      </xdr:nvSpPr>
      <xdr:spPr bwMode="auto">
        <a:xfrm>
          <a:off x="17973675" y="73380600"/>
          <a:ext cx="76200" cy="145011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406493"/>
    <xdr:sp macro="" textlink="">
      <xdr:nvSpPr>
        <xdr:cNvPr id="498" name="Text Box 617">
          <a:extLst>
            <a:ext uri="{FF2B5EF4-FFF2-40B4-BE49-F238E27FC236}">
              <a16:creationId xmlns="" xmlns:a16="http://schemas.microsoft.com/office/drawing/2014/main" id="{65334632-802B-4372-A206-9CA9EC1594D6}"/>
            </a:ext>
          </a:extLst>
        </xdr:cNvPr>
        <xdr:cNvSpPr txBox="1">
          <a:spLocks noChangeArrowheads="1"/>
        </xdr:cNvSpPr>
      </xdr:nvSpPr>
      <xdr:spPr bwMode="auto">
        <a:xfrm>
          <a:off x="17973675" y="73380600"/>
          <a:ext cx="76200" cy="840649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406493"/>
    <xdr:sp macro="" textlink="">
      <xdr:nvSpPr>
        <xdr:cNvPr id="499" name="Text Box 618">
          <a:extLst>
            <a:ext uri="{FF2B5EF4-FFF2-40B4-BE49-F238E27FC236}">
              <a16:creationId xmlns="" xmlns:a16="http://schemas.microsoft.com/office/drawing/2014/main" id="{CE0A88F0-B085-43BD-9890-8A151AB48F63}"/>
            </a:ext>
          </a:extLst>
        </xdr:cNvPr>
        <xdr:cNvSpPr txBox="1">
          <a:spLocks noChangeArrowheads="1"/>
        </xdr:cNvSpPr>
      </xdr:nvSpPr>
      <xdr:spPr bwMode="auto">
        <a:xfrm>
          <a:off x="17973675" y="73380600"/>
          <a:ext cx="76200" cy="840649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406493"/>
    <xdr:sp macro="" textlink="">
      <xdr:nvSpPr>
        <xdr:cNvPr id="500" name="Text Box 619">
          <a:extLst>
            <a:ext uri="{FF2B5EF4-FFF2-40B4-BE49-F238E27FC236}">
              <a16:creationId xmlns="" xmlns:a16="http://schemas.microsoft.com/office/drawing/2014/main" id="{6F9BB7FB-665B-492B-B896-FB649682B795}"/>
            </a:ext>
          </a:extLst>
        </xdr:cNvPr>
        <xdr:cNvSpPr txBox="1">
          <a:spLocks noChangeArrowheads="1"/>
        </xdr:cNvSpPr>
      </xdr:nvSpPr>
      <xdr:spPr bwMode="auto">
        <a:xfrm>
          <a:off x="17973675" y="73380600"/>
          <a:ext cx="76200" cy="840649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406493"/>
    <xdr:sp macro="" textlink="">
      <xdr:nvSpPr>
        <xdr:cNvPr id="501" name="Text Box 620">
          <a:extLst>
            <a:ext uri="{FF2B5EF4-FFF2-40B4-BE49-F238E27FC236}">
              <a16:creationId xmlns="" xmlns:a16="http://schemas.microsoft.com/office/drawing/2014/main" id="{6F3C79E0-3322-4A9F-A4DE-914A284C0998}"/>
            </a:ext>
          </a:extLst>
        </xdr:cNvPr>
        <xdr:cNvSpPr txBox="1">
          <a:spLocks noChangeArrowheads="1"/>
        </xdr:cNvSpPr>
      </xdr:nvSpPr>
      <xdr:spPr bwMode="auto">
        <a:xfrm>
          <a:off x="17973675" y="73380600"/>
          <a:ext cx="76200" cy="840649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511268"/>
    <xdr:sp macro="" textlink="">
      <xdr:nvSpPr>
        <xdr:cNvPr id="502" name="Text Box 43">
          <a:extLst>
            <a:ext uri="{FF2B5EF4-FFF2-40B4-BE49-F238E27FC236}">
              <a16:creationId xmlns="" xmlns:a16="http://schemas.microsoft.com/office/drawing/2014/main" id="{6C841E59-F0C4-4AE9-8E5A-8F99C727A2FF}"/>
            </a:ext>
          </a:extLst>
        </xdr:cNvPr>
        <xdr:cNvSpPr txBox="1">
          <a:spLocks noChangeArrowheads="1"/>
        </xdr:cNvSpPr>
      </xdr:nvSpPr>
      <xdr:spPr bwMode="auto">
        <a:xfrm>
          <a:off x="17973675" y="73380600"/>
          <a:ext cx="76200" cy="85112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511268"/>
    <xdr:sp macro="" textlink="">
      <xdr:nvSpPr>
        <xdr:cNvPr id="503" name="Text Box 45">
          <a:extLst>
            <a:ext uri="{FF2B5EF4-FFF2-40B4-BE49-F238E27FC236}">
              <a16:creationId xmlns="" xmlns:a16="http://schemas.microsoft.com/office/drawing/2014/main" id="{10467299-EF94-44C6-913D-E6F7AB496739}"/>
            </a:ext>
          </a:extLst>
        </xdr:cNvPr>
        <xdr:cNvSpPr txBox="1">
          <a:spLocks noChangeArrowheads="1"/>
        </xdr:cNvSpPr>
      </xdr:nvSpPr>
      <xdr:spPr bwMode="auto">
        <a:xfrm>
          <a:off x="17973675" y="73380600"/>
          <a:ext cx="76200" cy="85112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511268"/>
    <xdr:sp macro="" textlink="">
      <xdr:nvSpPr>
        <xdr:cNvPr id="504" name="Text Box 47">
          <a:extLst>
            <a:ext uri="{FF2B5EF4-FFF2-40B4-BE49-F238E27FC236}">
              <a16:creationId xmlns="" xmlns:a16="http://schemas.microsoft.com/office/drawing/2014/main" id="{46A3224A-B583-4DCC-BC47-BA924B53BAC6}"/>
            </a:ext>
          </a:extLst>
        </xdr:cNvPr>
        <xdr:cNvSpPr txBox="1">
          <a:spLocks noChangeArrowheads="1"/>
        </xdr:cNvSpPr>
      </xdr:nvSpPr>
      <xdr:spPr bwMode="auto">
        <a:xfrm>
          <a:off x="17973675" y="73380600"/>
          <a:ext cx="76200" cy="85112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8511268"/>
    <xdr:sp macro="" textlink="">
      <xdr:nvSpPr>
        <xdr:cNvPr id="505" name="Text Box 48">
          <a:extLst>
            <a:ext uri="{FF2B5EF4-FFF2-40B4-BE49-F238E27FC236}">
              <a16:creationId xmlns="" xmlns:a16="http://schemas.microsoft.com/office/drawing/2014/main" id="{3F0DCE5F-0232-454C-A7A8-C283A6A65372}"/>
            </a:ext>
          </a:extLst>
        </xdr:cNvPr>
        <xdr:cNvSpPr txBox="1">
          <a:spLocks noChangeArrowheads="1"/>
        </xdr:cNvSpPr>
      </xdr:nvSpPr>
      <xdr:spPr bwMode="auto">
        <a:xfrm>
          <a:off x="17973675" y="73380600"/>
          <a:ext cx="76200" cy="85112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7871622"/>
    <xdr:sp macro="" textlink="">
      <xdr:nvSpPr>
        <xdr:cNvPr id="506" name="Text Box 803">
          <a:extLst>
            <a:ext uri="{FF2B5EF4-FFF2-40B4-BE49-F238E27FC236}">
              <a16:creationId xmlns="" xmlns:a16="http://schemas.microsoft.com/office/drawing/2014/main" id="{9BEF71B4-9461-4CD5-BFDE-6D11735AE59F}"/>
            </a:ext>
          </a:extLst>
        </xdr:cNvPr>
        <xdr:cNvSpPr txBox="1">
          <a:spLocks noChangeArrowheads="1"/>
        </xdr:cNvSpPr>
      </xdr:nvSpPr>
      <xdr:spPr bwMode="auto">
        <a:xfrm>
          <a:off x="17973675" y="73380600"/>
          <a:ext cx="76200" cy="1787162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90007"/>
    <xdr:sp macro="" textlink="">
      <xdr:nvSpPr>
        <xdr:cNvPr id="507" name="Text Box 277747">
          <a:extLst>
            <a:ext uri="{FF2B5EF4-FFF2-40B4-BE49-F238E27FC236}">
              <a16:creationId xmlns="" xmlns:a16="http://schemas.microsoft.com/office/drawing/2014/main" id="{CFCF3A5D-1C6B-4C41-A4ED-CB686A453669}"/>
            </a:ext>
          </a:extLst>
        </xdr:cNvPr>
        <xdr:cNvSpPr txBox="1">
          <a:spLocks noChangeArrowheads="1"/>
        </xdr:cNvSpPr>
      </xdr:nvSpPr>
      <xdr:spPr bwMode="auto">
        <a:xfrm>
          <a:off x="17973675"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90007"/>
    <xdr:sp macro="" textlink="">
      <xdr:nvSpPr>
        <xdr:cNvPr id="508" name="Text Box 277748">
          <a:extLst>
            <a:ext uri="{FF2B5EF4-FFF2-40B4-BE49-F238E27FC236}">
              <a16:creationId xmlns="" xmlns:a16="http://schemas.microsoft.com/office/drawing/2014/main" id="{6D090F96-B232-41FA-9285-AE2BA3683A29}"/>
            </a:ext>
          </a:extLst>
        </xdr:cNvPr>
        <xdr:cNvSpPr txBox="1">
          <a:spLocks noChangeArrowheads="1"/>
        </xdr:cNvSpPr>
      </xdr:nvSpPr>
      <xdr:spPr bwMode="auto">
        <a:xfrm>
          <a:off x="17973675"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90007"/>
    <xdr:sp macro="" textlink="">
      <xdr:nvSpPr>
        <xdr:cNvPr id="509" name="Text Box 277749">
          <a:extLst>
            <a:ext uri="{FF2B5EF4-FFF2-40B4-BE49-F238E27FC236}">
              <a16:creationId xmlns="" xmlns:a16="http://schemas.microsoft.com/office/drawing/2014/main" id="{BA5CDA15-DE15-47DA-B9A1-DEC925450850}"/>
            </a:ext>
          </a:extLst>
        </xdr:cNvPr>
        <xdr:cNvSpPr txBox="1">
          <a:spLocks noChangeArrowheads="1"/>
        </xdr:cNvSpPr>
      </xdr:nvSpPr>
      <xdr:spPr bwMode="auto">
        <a:xfrm>
          <a:off x="17973675"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90007"/>
    <xdr:sp macro="" textlink="">
      <xdr:nvSpPr>
        <xdr:cNvPr id="510" name="Text Box 277750">
          <a:extLst>
            <a:ext uri="{FF2B5EF4-FFF2-40B4-BE49-F238E27FC236}">
              <a16:creationId xmlns="" xmlns:a16="http://schemas.microsoft.com/office/drawing/2014/main" id="{D9D8E9F2-E844-4B46-92F1-7AE166294045}"/>
            </a:ext>
          </a:extLst>
        </xdr:cNvPr>
        <xdr:cNvSpPr txBox="1">
          <a:spLocks noChangeArrowheads="1"/>
        </xdr:cNvSpPr>
      </xdr:nvSpPr>
      <xdr:spPr bwMode="auto">
        <a:xfrm>
          <a:off x="17973675"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32857"/>
    <xdr:sp macro="" textlink="">
      <xdr:nvSpPr>
        <xdr:cNvPr id="511" name="Text Box 277023">
          <a:extLst>
            <a:ext uri="{FF2B5EF4-FFF2-40B4-BE49-F238E27FC236}">
              <a16:creationId xmlns="" xmlns:a16="http://schemas.microsoft.com/office/drawing/2014/main" id="{76EA9F97-5889-4A95-B44C-908DC1F4D054}"/>
            </a:ext>
          </a:extLst>
        </xdr:cNvPr>
        <xdr:cNvSpPr txBox="1">
          <a:spLocks noChangeArrowheads="1"/>
        </xdr:cNvSpPr>
      </xdr:nvSpPr>
      <xdr:spPr bwMode="auto">
        <a:xfrm>
          <a:off x="17973675"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32857"/>
    <xdr:sp macro="" textlink="">
      <xdr:nvSpPr>
        <xdr:cNvPr id="512" name="Text Box 277024">
          <a:extLst>
            <a:ext uri="{FF2B5EF4-FFF2-40B4-BE49-F238E27FC236}">
              <a16:creationId xmlns="" xmlns:a16="http://schemas.microsoft.com/office/drawing/2014/main" id="{4E875511-4C25-4746-AD54-2FF10305A470}"/>
            </a:ext>
          </a:extLst>
        </xdr:cNvPr>
        <xdr:cNvSpPr txBox="1">
          <a:spLocks noChangeArrowheads="1"/>
        </xdr:cNvSpPr>
      </xdr:nvSpPr>
      <xdr:spPr bwMode="auto">
        <a:xfrm>
          <a:off x="17973675"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32857"/>
    <xdr:sp macro="" textlink="">
      <xdr:nvSpPr>
        <xdr:cNvPr id="513" name="Text Box 277025">
          <a:extLst>
            <a:ext uri="{FF2B5EF4-FFF2-40B4-BE49-F238E27FC236}">
              <a16:creationId xmlns="" xmlns:a16="http://schemas.microsoft.com/office/drawing/2014/main" id="{33F73041-0D00-4E13-9C33-D306A212986D}"/>
            </a:ext>
          </a:extLst>
        </xdr:cNvPr>
        <xdr:cNvSpPr txBox="1">
          <a:spLocks noChangeArrowheads="1"/>
        </xdr:cNvSpPr>
      </xdr:nvSpPr>
      <xdr:spPr bwMode="auto">
        <a:xfrm>
          <a:off x="17973675"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32857"/>
    <xdr:sp macro="" textlink="">
      <xdr:nvSpPr>
        <xdr:cNvPr id="514" name="Text Box 277026">
          <a:extLst>
            <a:ext uri="{FF2B5EF4-FFF2-40B4-BE49-F238E27FC236}">
              <a16:creationId xmlns="" xmlns:a16="http://schemas.microsoft.com/office/drawing/2014/main" id="{40134604-405B-49C7-838A-9EC39175D07C}"/>
            </a:ext>
          </a:extLst>
        </xdr:cNvPr>
        <xdr:cNvSpPr txBox="1">
          <a:spLocks noChangeArrowheads="1"/>
        </xdr:cNvSpPr>
      </xdr:nvSpPr>
      <xdr:spPr bwMode="auto">
        <a:xfrm>
          <a:off x="17973675"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15" name="Text Box 198">
          <a:extLst>
            <a:ext uri="{FF2B5EF4-FFF2-40B4-BE49-F238E27FC236}">
              <a16:creationId xmlns="" xmlns:a16="http://schemas.microsoft.com/office/drawing/2014/main" id="{0645E89F-8878-4FCD-B216-065F32A47E45}"/>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16" name="Text Box 199">
          <a:extLst>
            <a:ext uri="{FF2B5EF4-FFF2-40B4-BE49-F238E27FC236}">
              <a16:creationId xmlns="" xmlns:a16="http://schemas.microsoft.com/office/drawing/2014/main" id="{84A823C3-EAE1-4047-820E-8ADED2AD6FD6}"/>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17" name="Text Box 208">
          <a:extLst>
            <a:ext uri="{FF2B5EF4-FFF2-40B4-BE49-F238E27FC236}">
              <a16:creationId xmlns="" xmlns:a16="http://schemas.microsoft.com/office/drawing/2014/main" id="{32291AE1-A8BA-4838-BFD3-702004A4B693}"/>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18" name="Text Box 209">
          <a:extLst>
            <a:ext uri="{FF2B5EF4-FFF2-40B4-BE49-F238E27FC236}">
              <a16:creationId xmlns="" xmlns:a16="http://schemas.microsoft.com/office/drawing/2014/main" id="{C1DBAA0A-597F-467A-B954-8EB0368E026E}"/>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19" name="Text Box 210">
          <a:extLst>
            <a:ext uri="{FF2B5EF4-FFF2-40B4-BE49-F238E27FC236}">
              <a16:creationId xmlns="" xmlns:a16="http://schemas.microsoft.com/office/drawing/2014/main" id="{9DB49FC3-F902-4356-A7C1-6C1AC28E042E}"/>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0" name="Text Box 211">
          <a:extLst>
            <a:ext uri="{FF2B5EF4-FFF2-40B4-BE49-F238E27FC236}">
              <a16:creationId xmlns="" xmlns:a16="http://schemas.microsoft.com/office/drawing/2014/main" id="{9374B6BD-6317-4CEC-B807-F95441C8F036}"/>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1" name="Text Box 43">
          <a:extLst>
            <a:ext uri="{FF2B5EF4-FFF2-40B4-BE49-F238E27FC236}">
              <a16:creationId xmlns="" xmlns:a16="http://schemas.microsoft.com/office/drawing/2014/main" id="{07EEF6B2-6252-4F6E-BE96-7E8AB8FB7728}"/>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2" name="Text Box 45">
          <a:extLst>
            <a:ext uri="{FF2B5EF4-FFF2-40B4-BE49-F238E27FC236}">
              <a16:creationId xmlns="" xmlns:a16="http://schemas.microsoft.com/office/drawing/2014/main" id="{E48A53F5-21E6-448E-A959-2C59BAE2CFE7}"/>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3" name="Text Box 47">
          <a:extLst>
            <a:ext uri="{FF2B5EF4-FFF2-40B4-BE49-F238E27FC236}">
              <a16:creationId xmlns="" xmlns:a16="http://schemas.microsoft.com/office/drawing/2014/main" id="{8B2E7A8A-5A88-49FF-8372-720587B0F9C3}"/>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4" name="Text Box 48">
          <a:extLst>
            <a:ext uri="{FF2B5EF4-FFF2-40B4-BE49-F238E27FC236}">
              <a16:creationId xmlns="" xmlns:a16="http://schemas.microsoft.com/office/drawing/2014/main" id="{9CF398E7-AEA0-402C-BD6C-B62E1E608C81}"/>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5" name="Text Box 394">
          <a:extLst>
            <a:ext uri="{FF2B5EF4-FFF2-40B4-BE49-F238E27FC236}">
              <a16:creationId xmlns="" xmlns:a16="http://schemas.microsoft.com/office/drawing/2014/main" id="{9821D074-889B-4D1A-8E18-D7FA33C81D03}"/>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6" name="Text Box 395">
          <a:extLst>
            <a:ext uri="{FF2B5EF4-FFF2-40B4-BE49-F238E27FC236}">
              <a16:creationId xmlns="" xmlns:a16="http://schemas.microsoft.com/office/drawing/2014/main" id="{3689DDCF-1E1B-4796-BA7C-9812205335FE}"/>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7" name="Text Box 396">
          <a:extLst>
            <a:ext uri="{FF2B5EF4-FFF2-40B4-BE49-F238E27FC236}">
              <a16:creationId xmlns="" xmlns:a16="http://schemas.microsoft.com/office/drawing/2014/main" id="{0D474C10-F6B5-4818-BF59-C89C4E2FDD1D}"/>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8" name="Text Box 397">
          <a:extLst>
            <a:ext uri="{FF2B5EF4-FFF2-40B4-BE49-F238E27FC236}">
              <a16:creationId xmlns="" xmlns:a16="http://schemas.microsoft.com/office/drawing/2014/main" id="{FC99FCF5-986D-4910-84C6-7BF41E679D13}"/>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29" name="Text Box 43">
          <a:extLst>
            <a:ext uri="{FF2B5EF4-FFF2-40B4-BE49-F238E27FC236}">
              <a16:creationId xmlns="" xmlns:a16="http://schemas.microsoft.com/office/drawing/2014/main" id="{308660E0-E03A-491C-80CA-A06B0D4DB950}"/>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30" name="Text Box 45">
          <a:extLst>
            <a:ext uri="{FF2B5EF4-FFF2-40B4-BE49-F238E27FC236}">
              <a16:creationId xmlns="" xmlns:a16="http://schemas.microsoft.com/office/drawing/2014/main" id="{B17B0A7F-D864-4243-B778-A6782F857AB2}"/>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31" name="Text Box 47">
          <a:extLst>
            <a:ext uri="{FF2B5EF4-FFF2-40B4-BE49-F238E27FC236}">
              <a16:creationId xmlns="" xmlns:a16="http://schemas.microsoft.com/office/drawing/2014/main" id="{3036F506-4D9D-48D1-BC50-990E08A86F07}"/>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32" name="Text Box 48">
          <a:extLst>
            <a:ext uri="{FF2B5EF4-FFF2-40B4-BE49-F238E27FC236}">
              <a16:creationId xmlns="" xmlns:a16="http://schemas.microsoft.com/office/drawing/2014/main" id="{C071E920-D502-469F-98D5-81A429620D25}"/>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1610975"/>
    <xdr:sp macro="" textlink="">
      <xdr:nvSpPr>
        <xdr:cNvPr id="533" name="Text Box 607">
          <a:extLst>
            <a:ext uri="{FF2B5EF4-FFF2-40B4-BE49-F238E27FC236}">
              <a16:creationId xmlns="" xmlns:a16="http://schemas.microsoft.com/office/drawing/2014/main" id="{5904F64A-2DA6-4572-84C3-24E9B08DF7B0}"/>
            </a:ext>
          </a:extLst>
        </xdr:cNvPr>
        <xdr:cNvSpPr txBox="1">
          <a:spLocks noChangeArrowheads="1"/>
        </xdr:cNvSpPr>
      </xdr:nvSpPr>
      <xdr:spPr bwMode="auto">
        <a:xfrm>
          <a:off x="17973675" y="73380600"/>
          <a:ext cx="76200" cy="1161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1610975"/>
    <xdr:sp macro="" textlink="">
      <xdr:nvSpPr>
        <xdr:cNvPr id="534" name="Text Box 608">
          <a:extLst>
            <a:ext uri="{FF2B5EF4-FFF2-40B4-BE49-F238E27FC236}">
              <a16:creationId xmlns="" xmlns:a16="http://schemas.microsoft.com/office/drawing/2014/main" id="{F7373DD5-9ABD-4727-A99C-709D199121AB}"/>
            </a:ext>
          </a:extLst>
        </xdr:cNvPr>
        <xdr:cNvSpPr txBox="1">
          <a:spLocks noChangeArrowheads="1"/>
        </xdr:cNvSpPr>
      </xdr:nvSpPr>
      <xdr:spPr bwMode="auto">
        <a:xfrm>
          <a:off x="17973675" y="73380600"/>
          <a:ext cx="76200" cy="1161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35" name="Text Box 617">
          <a:extLst>
            <a:ext uri="{FF2B5EF4-FFF2-40B4-BE49-F238E27FC236}">
              <a16:creationId xmlns="" xmlns:a16="http://schemas.microsoft.com/office/drawing/2014/main" id="{408A0DD1-DFAE-4B38-865E-65937F793EE0}"/>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36" name="Text Box 618">
          <a:extLst>
            <a:ext uri="{FF2B5EF4-FFF2-40B4-BE49-F238E27FC236}">
              <a16:creationId xmlns="" xmlns:a16="http://schemas.microsoft.com/office/drawing/2014/main" id="{A3112C6D-74B9-4434-A2B5-DD467FC2D78D}"/>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37" name="Text Box 619">
          <a:extLst>
            <a:ext uri="{FF2B5EF4-FFF2-40B4-BE49-F238E27FC236}">
              <a16:creationId xmlns="" xmlns:a16="http://schemas.microsoft.com/office/drawing/2014/main" id="{F2D93996-C389-4A52-83C1-CF658F9EEFC8}"/>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38" name="Text Box 620">
          <a:extLst>
            <a:ext uri="{FF2B5EF4-FFF2-40B4-BE49-F238E27FC236}">
              <a16:creationId xmlns="" xmlns:a16="http://schemas.microsoft.com/office/drawing/2014/main" id="{B041375A-FEAB-4C30-923B-8AE01D6915B7}"/>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39" name="Text Box 43">
          <a:extLst>
            <a:ext uri="{FF2B5EF4-FFF2-40B4-BE49-F238E27FC236}">
              <a16:creationId xmlns="" xmlns:a16="http://schemas.microsoft.com/office/drawing/2014/main" id="{088526A4-C4B1-40C4-AD1E-6997F3214ED2}"/>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40" name="Text Box 45">
          <a:extLst>
            <a:ext uri="{FF2B5EF4-FFF2-40B4-BE49-F238E27FC236}">
              <a16:creationId xmlns="" xmlns:a16="http://schemas.microsoft.com/office/drawing/2014/main" id="{0484DD27-ECC2-427E-ACDF-B8E4CE5A7F40}"/>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41" name="Text Box 47">
          <a:extLst>
            <a:ext uri="{FF2B5EF4-FFF2-40B4-BE49-F238E27FC236}">
              <a16:creationId xmlns="" xmlns:a16="http://schemas.microsoft.com/office/drawing/2014/main" id="{7C1C7147-092A-4B09-8EEA-A61D632C0CAA}"/>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7675790"/>
    <xdr:sp macro="" textlink="">
      <xdr:nvSpPr>
        <xdr:cNvPr id="542" name="Text Box 48">
          <a:extLst>
            <a:ext uri="{FF2B5EF4-FFF2-40B4-BE49-F238E27FC236}">
              <a16:creationId xmlns="" xmlns:a16="http://schemas.microsoft.com/office/drawing/2014/main" id="{7D1C89E7-8FEC-4951-A100-62414E13ABB4}"/>
            </a:ext>
          </a:extLst>
        </xdr:cNvPr>
        <xdr:cNvSpPr txBox="1">
          <a:spLocks noChangeArrowheads="1"/>
        </xdr:cNvSpPr>
      </xdr:nvSpPr>
      <xdr:spPr bwMode="auto">
        <a:xfrm>
          <a:off x="17973675"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7871622"/>
    <xdr:sp macro="" textlink="">
      <xdr:nvSpPr>
        <xdr:cNvPr id="543" name="Text Box 803">
          <a:extLst>
            <a:ext uri="{FF2B5EF4-FFF2-40B4-BE49-F238E27FC236}">
              <a16:creationId xmlns="" xmlns:a16="http://schemas.microsoft.com/office/drawing/2014/main" id="{CCEB29FF-60BA-48D0-A636-FE318EBFED0C}"/>
            </a:ext>
          </a:extLst>
        </xdr:cNvPr>
        <xdr:cNvSpPr txBox="1">
          <a:spLocks noChangeArrowheads="1"/>
        </xdr:cNvSpPr>
      </xdr:nvSpPr>
      <xdr:spPr bwMode="auto">
        <a:xfrm>
          <a:off x="17973675" y="73380600"/>
          <a:ext cx="76200" cy="1787162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90007"/>
    <xdr:sp macro="" textlink="">
      <xdr:nvSpPr>
        <xdr:cNvPr id="544" name="Text Box 277747">
          <a:extLst>
            <a:ext uri="{FF2B5EF4-FFF2-40B4-BE49-F238E27FC236}">
              <a16:creationId xmlns="" xmlns:a16="http://schemas.microsoft.com/office/drawing/2014/main" id="{CED2755A-AE6D-47E3-8F8F-AB272F23919F}"/>
            </a:ext>
          </a:extLst>
        </xdr:cNvPr>
        <xdr:cNvSpPr txBox="1">
          <a:spLocks noChangeArrowheads="1"/>
        </xdr:cNvSpPr>
      </xdr:nvSpPr>
      <xdr:spPr bwMode="auto">
        <a:xfrm>
          <a:off x="17973675"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90007"/>
    <xdr:sp macro="" textlink="">
      <xdr:nvSpPr>
        <xdr:cNvPr id="545" name="Text Box 277748">
          <a:extLst>
            <a:ext uri="{FF2B5EF4-FFF2-40B4-BE49-F238E27FC236}">
              <a16:creationId xmlns="" xmlns:a16="http://schemas.microsoft.com/office/drawing/2014/main" id="{D3246AA6-96E2-472C-A1E5-84FE3F83D342}"/>
            </a:ext>
          </a:extLst>
        </xdr:cNvPr>
        <xdr:cNvSpPr txBox="1">
          <a:spLocks noChangeArrowheads="1"/>
        </xdr:cNvSpPr>
      </xdr:nvSpPr>
      <xdr:spPr bwMode="auto">
        <a:xfrm>
          <a:off x="17973675"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90007"/>
    <xdr:sp macro="" textlink="">
      <xdr:nvSpPr>
        <xdr:cNvPr id="546" name="Text Box 277749">
          <a:extLst>
            <a:ext uri="{FF2B5EF4-FFF2-40B4-BE49-F238E27FC236}">
              <a16:creationId xmlns="" xmlns:a16="http://schemas.microsoft.com/office/drawing/2014/main" id="{7E27BB5D-E347-4237-8EAA-59B1265FA593}"/>
            </a:ext>
          </a:extLst>
        </xdr:cNvPr>
        <xdr:cNvSpPr txBox="1">
          <a:spLocks noChangeArrowheads="1"/>
        </xdr:cNvSpPr>
      </xdr:nvSpPr>
      <xdr:spPr bwMode="auto">
        <a:xfrm>
          <a:off x="17973675"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1690007"/>
    <xdr:sp macro="" textlink="">
      <xdr:nvSpPr>
        <xdr:cNvPr id="547" name="Text Box 277750">
          <a:extLst>
            <a:ext uri="{FF2B5EF4-FFF2-40B4-BE49-F238E27FC236}">
              <a16:creationId xmlns="" xmlns:a16="http://schemas.microsoft.com/office/drawing/2014/main" id="{1CF17101-ECFD-417F-B624-A5133A30334F}"/>
            </a:ext>
          </a:extLst>
        </xdr:cNvPr>
        <xdr:cNvSpPr txBox="1">
          <a:spLocks noChangeArrowheads="1"/>
        </xdr:cNvSpPr>
      </xdr:nvSpPr>
      <xdr:spPr bwMode="auto">
        <a:xfrm>
          <a:off x="17973675"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732"/>
    <xdr:sp macro="" textlink="">
      <xdr:nvSpPr>
        <xdr:cNvPr id="548" name="Text Box 67">
          <a:extLst>
            <a:ext uri="{FF2B5EF4-FFF2-40B4-BE49-F238E27FC236}">
              <a16:creationId xmlns="" xmlns:a16="http://schemas.microsoft.com/office/drawing/2014/main" id="{74789C6E-CE2C-4E84-B480-C7323B4398BB}"/>
            </a:ext>
          </a:extLst>
        </xdr:cNvPr>
        <xdr:cNvSpPr txBox="1">
          <a:spLocks noChangeArrowheads="1"/>
        </xdr:cNvSpPr>
      </xdr:nvSpPr>
      <xdr:spPr bwMode="auto">
        <a:xfrm>
          <a:off x="20088225" y="733806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732"/>
    <xdr:sp macro="" textlink="">
      <xdr:nvSpPr>
        <xdr:cNvPr id="549" name="Text Box 68">
          <a:extLst>
            <a:ext uri="{FF2B5EF4-FFF2-40B4-BE49-F238E27FC236}">
              <a16:creationId xmlns="" xmlns:a16="http://schemas.microsoft.com/office/drawing/2014/main" id="{21AF5DD7-F4D8-4492-89F9-21219BB30945}"/>
            </a:ext>
          </a:extLst>
        </xdr:cNvPr>
        <xdr:cNvSpPr txBox="1">
          <a:spLocks noChangeArrowheads="1"/>
        </xdr:cNvSpPr>
      </xdr:nvSpPr>
      <xdr:spPr bwMode="auto">
        <a:xfrm>
          <a:off x="20088225" y="733806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732"/>
    <xdr:sp macro="" textlink="">
      <xdr:nvSpPr>
        <xdr:cNvPr id="550" name="Text Box 145">
          <a:extLst>
            <a:ext uri="{FF2B5EF4-FFF2-40B4-BE49-F238E27FC236}">
              <a16:creationId xmlns="" xmlns:a16="http://schemas.microsoft.com/office/drawing/2014/main" id="{48A38D85-3D83-48E8-853C-3F4DE1BFC1FC}"/>
            </a:ext>
          </a:extLst>
        </xdr:cNvPr>
        <xdr:cNvSpPr txBox="1">
          <a:spLocks noChangeArrowheads="1"/>
        </xdr:cNvSpPr>
      </xdr:nvSpPr>
      <xdr:spPr bwMode="auto">
        <a:xfrm>
          <a:off x="20088225" y="733806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732"/>
    <xdr:sp macro="" textlink="">
      <xdr:nvSpPr>
        <xdr:cNvPr id="551" name="Text Box 146">
          <a:extLst>
            <a:ext uri="{FF2B5EF4-FFF2-40B4-BE49-F238E27FC236}">
              <a16:creationId xmlns="" xmlns:a16="http://schemas.microsoft.com/office/drawing/2014/main" id="{E59A3E2E-FC15-42E0-8B49-389717CC0DCD}"/>
            </a:ext>
          </a:extLst>
        </xdr:cNvPr>
        <xdr:cNvSpPr txBox="1">
          <a:spLocks noChangeArrowheads="1"/>
        </xdr:cNvSpPr>
      </xdr:nvSpPr>
      <xdr:spPr bwMode="auto">
        <a:xfrm>
          <a:off x="20088225" y="733806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32857"/>
    <xdr:sp macro="" textlink="">
      <xdr:nvSpPr>
        <xdr:cNvPr id="552" name="Text Box 277023">
          <a:extLst>
            <a:ext uri="{FF2B5EF4-FFF2-40B4-BE49-F238E27FC236}">
              <a16:creationId xmlns="" xmlns:a16="http://schemas.microsoft.com/office/drawing/2014/main" id="{B34488AB-187E-442C-9FF0-5A39BFB3BD12}"/>
            </a:ext>
          </a:extLst>
        </xdr:cNvPr>
        <xdr:cNvSpPr txBox="1">
          <a:spLocks noChangeArrowheads="1"/>
        </xdr:cNvSpPr>
      </xdr:nvSpPr>
      <xdr:spPr bwMode="auto">
        <a:xfrm>
          <a:off x="19030950"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32857"/>
    <xdr:sp macro="" textlink="">
      <xdr:nvSpPr>
        <xdr:cNvPr id="553" name="Text Box 277024">
          <a:extLst>
            <a:ext uri="{FF2B5EF4-FFF2-40B4-BE49-F238E27FC236}">
              <a16:creationId xmlns="" xmlns:a16="http://schemas.microsoft.com/office/drawing/2014/main" id="{9B65755E-91EB-48CB-A9B3-F51490DCBD8E}"/>
            </a:ext>
          </a:extLst>
        </xdr:cNvPr>
        <xdr:cNvSpPr txBox="1">
          <a:spLocks noChangeArrowheads="1"/>
        </xdr:cNvSpPr>
      </xdr:nvSpPr>
      <xdr:spPr bwMode="auto">
        <a:xfrm>
          <a:off x="19030950"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32857"/>
    <xdr:sp macro="" textlink="">
      <xdr:nvSpPr>
        <xdr:cNvPr id="554" name="Text Box 277025">
          <a:extLst>
            <a:ext uri="{FF2B5EF4-FFF2-40B4-BE49-F238E27FC236}">
              <a16:creationId xmlns="" xmlns:a16="http://schemas.microsoft.com/office/drawing/2014/main" id="{A1A9C04E-7AFD-4720-B683-FEAF3CF02A7C}"/>
            </a:ext>
          </a:extLst>
        </xdr:cNvPr>
        <xdr:cNvSpPr txBox="1">
          <a:spLocks noChangeArrowheads="1"/>
        </xdr:cNvSpPr>
      </xdr:nvSpPr>
      <xdr:spPr bwMode="auto">
        <a:xfrm>
          <a:off x="19030950"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32857"/>
    <xdr:sp macro="" textlink="">
      <xdr:nvSpPr>
        <xdr:cNvPr id="555" name="Text Box 277026">
          <a:extLst>
            <a:ext uri="{FF2B5EF4-FFF2-40B4-BE49-F238E27FC236}">
              <a16:creationId xmlns="" xmlns:a16="http://schemas.microsoft.com/office/drawing/2014/main" id="{92BFF648-1160-420C-812E-4425F24A9B9E}"/>
            </a:ext>
          </a:extLst>
        </xdr:cNvPr>
        <xdr:cNvSpPr txBox="1">
          <a:spLocks noChangeArrowheads="1"/>
        </xdr:cNvSpPr>
      </xdr:nvSpPr>
      <xdr:spPr bwMode="auto">
        <a:xfrm>
          <a:off x="19030950"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841797"/>
    <xdr:sp macro="" textlink="">
      <xdr:nvSpPr>
        <xdr:cNvPr id="556" name="Text Box 198">
          <a:extLst>
            <a:ext uri="{FF2B5EF4-FFF2-40B4-BE49-F238E27FC236}">
              <a16:creationId xmlns="" xmlns:a16="http://schemas.microsoft.com/office/drawing/2014/main" id="{712C4F89-4C4E-45CE-BD64-EA2D0201D0B1}"/>
            </a:ext>
          </a:extLst>
        </xdr:cNvPr>
        <xdr:cNvSpPr txBox="1">
          <a:spLocks noChangeArrowheads="1"/>
        </xdr:cNvSpPr>
      </xdr:nvSpPr>
      <xdr:spPr bwMode="auto">
        <a:xfrm>
          <a:off x="19030950" y="73380600"/>
          <a:ext cx="76200" cy="78417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841797"/>
    <xdr:sp macro="" textlink="">
      <xdr:nvSpPr>
        <xdr:cNvPr id="557" name="Text Box 199">
          <a:extLst>
            <a:ext uri="{FF2B5EF4-FFF2-40B4-BE49-F238E27FC236}">
              <a16:creationId xmlns="" xmlns:a16="http://schemas.microsoft.com/office/drawing/2014/main" id="{4584DF68-B765-4781-BCB5-7C41D5A1FEDA}"/>
            </a:ext>
          </a:extLst>
        </xdr:cNvPr>
        <xdr:cNvSpPr txBox="1">
          <a:spLocks noChangeArrowheads="1"/>
        </xdr:cNvSpPr>
      </xdr:nvSpPr>
      <xdr:spPr bwMode="auto">
        <a:xfrm>
          <a:off x="19030950" y="73380600"/>
          <a:ext cx="76200" cy="78417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58" name="Text Box 208">
          <a:extLst>
            <a:ext uri="{FF2B5EF4-FFF2-40B4-BE49-F238E27FC236}">
              <a16:creationId xmlns="" xmlns:a16="http://schemas.microsoft.com/office/drawing/2014/main" id="{DFDEE0EA-5AAB-48E2-ACD3-81DEE82E3A11}"/>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59" name="Text Box 209">
          <a:extLst>
            <a:ext uri="{FF2B5EF4-FFF2-40B4-BE49-F238E27FC236}">
              <a16:creationId xmlns="" xmlns:a16="http://schemas.microsoft.com/office/drawing/2014/main" id="{C763D792-9D88-44EE-89BD-764C2BF01395}"/>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60" name="Text Box 210">
          <a:extLst>
            <a:ext uri="{FF2B5EF4-FFF2-40B4-BE49-F238E27FC236}">
              <a16:creationId xmlns="" xmlns:a16="http://schemas.microsoft.com/office/drawing/2014/main" id="{EE22A137-3333-4A1A-8248-0BBE80C63406}"/>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61" name="Text Box 211">
          <a:extLst>
            <a:ext uri="{FF2B5EF4-FFF2-40B4-BE49-F238E27FC236}">
              <a16:creationId xmlns="" xmlns:a16="http://schemas.microsoft.com/office/drawing/2014/main" id="{C63E1C7F-0FF6-45A3-8129-1F71F40BF336}"/>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62" name="Text Box 43">
          <a:extLst>
            <a:ext uri="{FF2B5EF4-FFF2-40B4-BE49-F238E27FC236}">
              <a16:creationId xmlns="" xmlns:a16="http://schemas.microsoft.com/office/drawing/2014/main" id="{28A14E5E-F2C9-4CFD-8C41-BA953598AF04}"/>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63" name="Text Box 45">
          <a:extLst>
            <a:ext uri="{FF2B5EF4-FFF2-40B4-BE49-F238E27FC236}">
              <a16:creationId xmlns="" xmlns:a16="http://schemas.microsoft.com/office/drawing/2014/main" id="{8D304117-A21B-41AC-BD69-4AAD8F3CE8AD}"/>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64" name="Text Box 47">
          <a:extLst>
            <a:ext uri="{FF2B5EF4-FFF2-40B4-BE49-F238E27FC236}">
              <a16:creationId xmlns="" xmlns:a16="http://schemas.microsoft.com/office/drawing/2014/main" id="{9BD494E9-1277-4D92-8EB5-E5BFF47F7B4F}"/>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65" name="Text Box 48">
          <a:extLst>
            <a:ext uri="{FF2B5EF4-FFF2-40B4-BE49-F238E27FC236}">
              <a16:creationId xmlns="" xmlns:a16="http://schemas.microsoft.com/office/drawing/2014/main" id="{EDDDCA7F-52F8-49CC-A330-362BF95D790A}"/>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335736"/>
    <xdr:sp macro="" textlink="">
      <xdr:nvSpPr>
        <xdr:cNvPr id="566" name="Text Box 394">
          <a:extLst>
            <a:ext uri="{FF2B5EF4-FFF2-40B4-BE49-F238E27FC236}">
              <a16:creationId xmlns="" xmlns:a16="http://schemas.microsoft.com/office/drawing/2014/main" id="{CF2D3B08-8AFC-4707-A5E8-2DC725ACB4C4}"/>
            </a:ext>
          </a:extLst>
        </xdr:cNvPr>
        <xdr:cNvSpPr txBox="1">
          <a:spLocks noChangeArrowheads="1"/>
        </xdr:cNvSpPr>
      </xdr:nvSpPr>
      <xdr:spPr bwMode="auto">
        <a:xfrm>
          <a:off x="19030950" y="73380600"/>
          <a:ext cx="76200" cy="83357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335736"/>
    <xdr:sp macro="" textlink="">
      <xdr:nvSpPr>
        <xdr:cNvPr id="567" name="Text Box 395">
          <a:extLst>
            <a:ext uri="{FF2B5EF4-FFF2-40B4-BE49-F238E27FC236}">
              <a16:creationId xmlns="" xmlns:a16="http://schemas.microsoft.com/office/drawing/2014/main" id="{BDC9BD4D-D192-45A0-B79E-BC154FB443F7}"/>
            </a:ext>
          </a:extLst>
        </xdr:cNvPr>
        <xdr:cNvSpPr txBox="1">
          <a:spLocks noChangeArrowheads="1"/>
        </xdr:cNvSpPr>
      </xdr:nvSpPr>
      <xdr:spPr bwMode="auto">
        <a:xfrm>
          <a:off x="19030950" y="73380600"/>
          <a:ext cx="76200" cy="83357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335736"/>
    <xdr:sp macro="" textlink="">
      <xdr:nvSpPr>
        <xdr:cNvPr id="568" name="Text Box 396">
          <a:extLst>
            <a:ext uri="{FF2B5EF4-FFF2-40B4-BE49-F238E27FC236}">
              <a16:creationId xmlns="" xmlns:a16="http://schemas.microsoft.com/office/drawing/2014/main" id="{AE841DFA-0AD4-4867-AD63-0EDA9987E156}"/>
            </a:ext>
          </a:extLst>
        </xdr:cNvPr>
        <xdr:cNvSpPr txBox="1">
          <a:spLocks noChangeArrowheads="1"/>
        </xdr:cNvSpPr>
      </xdr:nvSpPr>
      <xdr:spPr bwMode="auto">
        <a:xfrm>
          <a:off x="19030950" y="73380600"/>
          <a:ext cx="76200" cy="83357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335736"/>
    <xdr:sp macro="" textlink="">
      <xdr:nvSpPr>
        <xdr:cNvPr id="569" name="Text Box 397">
          <a:extLst>
            <a:ext uri="{FF2B5EF4-FFF2-40B4-BE49-F238E27FC236}">
              <a16:creationId xmlns="" xmlns:a16="http://schemas.microsoft.com/office/drawing/2014/main" id="{66800271-138A-43A3-8500-77003EE1F20B}"/>
            </a:ext>
          </a:extLst>
        </xdr:cNvPr>
        <xdr:cNvSpPr txBox="1">
          <a:spLocks noChangeArrowheads="1"/>
        </xdr:cNvSpPr>
      </xdr:nvSpPr>
      <xdr:spPr bwMode="auto">
        <a:xfrm>
          <a:off x="19030950" y="73380600"/>
          <a:ext cx="76200" cy="83357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70" name="Text Box 43">
          <a:extLst>
            <a:ext uri="{FF2B5EF4-FFF2-40B4-BE49-F238E27FC236}">
              <a16:creationId xmlns="" xmlns:a16="http://schemas.microsoft.com/office/drawing/2014/main" id="{E53855DA-AAD2-461B-B8D6-CDD2B4192218}"/>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71" name="Text Box 45">
          <a:extLst>
            <a:ext uri="{FF2B5EF4-FFF2-40B4-BE49-F238E27FC236}">
              <a16:creationId xmlns="" xmlns:a16="http://schemas.microsoft.com/office/drawing/2014/main" id="{284975DA-DB44-42C5-AFBA-BD37F5A564CD}"/>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72" name="Text Box 47">
          <a:extLst>
            <a:ext uri="{FF2B5EF4-FFF2-40B4-BE49-F238E27FC236}">
              <a16:creationId xmlns="" xmlns:a16="http://schemas.microsoft.com/office/drawing/2014/main" id="{30493891-EF3E-47EF-A31C-EFABDE20A54F}"/>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73" name="Text Box 48">
          <a:extLst>
            <a:ext uri="{FF2B5EF4-FFF2-40B4-BE49-F238E27FC236}">
              <a16:creationId xmlns="" xmlns:a16="http://schemas.microsoft.com/office/drawing/2014/main" id="{037E2C9E-733F-4383-AD98-386112A41BA8}"/>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4501132"/>
    <xdr:sp macro="" textlink="">
      <xdr:nvSpPr>
        <xdr:cNvPr id="574" name="Text Box 607">
          <a:extLst>
            <a:ext uri="{FF2B5EF4-FFF2-40B4-BE49-F238E27FC236}">
              <a16:creationId xmlns="" xmlns:a16="http://schemas.microsoft.com/office/drawing/2014/main" id="{9EB1FFA3-DB74-4DE3-B21F-822B7FB24484}"/>
            </a:ext>
          </a:extLst>
        </xdr:cNvPr>
        <xdr:cNvSpPr txBox="1">
          <a:spLocks noChangeArrowheads="1"/>
        </xdr:cNvSpPr>
      </xdr:nvSpPr>
      <xdr:spPr bwMode="auto">
        <a:xfrm>
          <a:off x="19030950" y="73380600"/>
          <a:ext cx="76200" cy="145011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4501132"/>
    <xdr:sp macro="" textlink="">
      <xdr:nvSpPr>
        <xdr:cNvPr id="575" name="Text Box 608">
          <a:extLst>
            <a:ext uri="{FF2B5EF4-FFF2-40B4-BE49-F238E27FC236}">
              <a16:creationId xmlns="" xmlns:a16="http://schemas.microsoft.com/office/drawing/2014/main" id="{5355279E-1F01-4E07-8149-3D90C894D33B}"/>
            </a:ext>
          </a:extLst>
        </xdr:cNvPr>
        <xdr:cNvSpPr txBox="1">
          <a:spLocks noChangeArrowheads="1"/>
        </xdr:cNvSpPr>
      </xdr:nvSpPr>
      <xdr:spPr bwMode="auto">
        <a:xfrm>
          <a:off x="19030950" y="73380600"/>
          <a:ext cx="76200" cy="145011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406493"/>
    <xdr:sp macro="" textlink="">
      <xdr:nvSpPr>
        <xdr:cNvPr id="576" name="Text Box 617">
          <a:extLst>
            <a:ext uri="{FF2B5EF4-FFF2-40B4-BE49-F238E27FC236}">
              <a16:creationId xmlns="" xmlns:a16="http://schemas.microsoft.com/office/drawing/2014/main" id="{BDC5C6C8-F978-4FF4-BD53-13C3FBCFCF69}"/>
            </a:ext>
          </a:extLst>
        </xdr:cNvPr>
        <xdr:cNvSpPr txBox="1">
          <a:spLocks noChangeArrowheads="1"/>
        </xdr:cNvSpPr>
      </xdr:nvSpPr>
      <xdr:spPr bwMode="auto">
        <a:xfrm>
          <a:off x="19030950" y="73380600"/>
          <a:ext cx="76200" cy="840649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406493"/>
    <xdr:sp macro="" textlink="">
      <xdr:nvSpPr>
        <xdr:cNvPr id="577" name="Text Box 618">
          <a:extLst>
            <a:ext uri="{FF2B5EF4-FFF2-40B4-BE49-F238E27FC236}">
              <a16:creationId xmlns="" xmlns:a16="http://schemas.microsoft.com/office/drawing/2014/main" id="{6C558644-8178-44A0-90F7-973B7C72CD85}"/>
            </a:ext>
          </a:extLst>
        </xdr:cNvPr>
        <xdr:cNvSpPr txBox="1">
          <a:spLocks noChangeArrowheads="1"/>
        </xdr:cNvSpPr>
      </xdr:nvSpPr>
      <xdr:spPr bwMode="auto">
        <a:xfrm>
          <a:off x="19030950" y="73380600"/>
          <a:ext cx="76200" cy="840649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406493"/>
    <xdr:sp macro="" textlink="">
      <xdr:nvSpPr>
        <xdr:cNvPr id="578" name="Text Box 619">
          <a:extLst>
            <a:ext uri="{FF2B5EF4-FFF2-40B4-BE49-F238E27FC236}">
              <a16:creationId xmlns="" xmlns:a16="http://schemas.microsoft.com/office/drawing/2014/main" id="{59173A4C-547B-4698-A28F-E9CEE56F8613}"/>
            </a:ext>
          </a:extLst>
        </xdr:cNvPr>
        <xdr:cNvSpPr txBox="1">
          <a:spLocks noChangeArrowheads="1"/>
        </xdr:cNvSpPr>
      </xdr:nvSpPr>
      <xdr:spPr bwMode="auto">
        <a:xfrm>
          <a:off x="19030950" y="73380600"/>
          <a:ext cx="76200" cy="840649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406493"/>
    <xdr:sp macro="" textlink="">
      <xdr:nvSpPr>
        <xdr:cNvPr id="579" name="Text Box 620">
          <a:extLst>
            <a:ext uri="{FF2B5EF4-FFF2-40B4-BE49-F238E27FC236}">
              <a16:creationId xmlns="" xmlns:a16="http://schemas.microsoft.com/office/drawing/2014/main" id="{59EC1248-99B2-460E-9C94-45EB450025F3}"/>
            </a:ext>
          </a:extLst>
        </xdr:cNvPr>
        <xdr:cNvSpPr txBox="1">
          <a:spLocks noChangeArrowheads="1"/>
        </xdr:cNvSpPr>
      </xdr:nvSpPr>
      <xdr:spPr bwMode="auto">
        <a:xfrm>
          <a:off x="19030950" y="73380600"/>
          <a:ext cx="76200" cy="840649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511268"/>
    <xdr:sp macro="" textlink="">
      <xdr:nvSpPr>
        <xdr:cNvPr id="580" name="Text Box 43">
          <a:extLst>
            <a:ext uri="{FF2B5EF4-FFF2-40B4-BE49-F238E27FC236}">
              <a16:creationId xmlns="" xmlns:a16="http://schemas.microsoft.com/office/drawing/2014/main" id="{486673AB-5DD1-46AA-940D-41AD9294A5AE}"/>
            </a:ext>
          </a:extLst>
        </xdr:cNvPr>
        <xdr:cNvSpPr txBox="1">
          <a:spLocks noChangeArrowheads="1"/>
        </xdr:cNvSpPr>
      </xdr:nvSpPr>
      <xdr:spPr bwMode="auto">
        <a:xfrm>
          <a:off x="19030950" y="73380600"/>
          <a:ext cx="76200" cy="85112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511268"/>
    <xdr:sp macro="" textlink="">
      <xdr:nvSpPr>
        <xdr:cNvPr id="581" name="Text Box 45">
          <a:extLst>
            <a:ext uri="{FF2B5EF4-FFF2-40B4-BE49-F238E27FC236}">
              <a16:creationId xmlns="" xmlns:a16="http://schemas.microsoft.com/office/drawing/2014/main" id="{B9DE95B2-DEC4-4437-BBF8-1584D7E04D84}"/>
            </a:ext>
          </a:extLst>
        </xdr:cNvPr>
        <xdr:cNvSpPr txBox="1">
          <a:spLocks noChangeArrowheads="1"/>
        </xdr:cNvSpPr>
      </xdr:nvSpPr>
      <xdr:spPr bwMode="auto">
        <a:xfrm>
          <a:off x="19030950" y="73380600"/>
          <a:ext cx="76200" cy="85112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511268"/>
    <xdr:sp macro="" textlink="">
      <xdr:nvSpPr>
        <xdr:cNvPr id="582" name="Text Box 47">
          <a:extLst>
            <a:ext uri="{FF2B5EF4-FFF2-40B4-BE49-F238E27FC236}">
              <a16:creationId xmlns="" xmlns:a16="http://schemas.microsoft.com/office/drawing/2014/main" id="{0D577939-5BEF-489B-A178-B88E4739ACE1}"/>
            </a:ext>
          </a:extLst>
        </xdr:cNvPr>
        <xdr:cNvSpPr txBox="1">
          <a:spLocks noChangeArrowheads="1"/>
        </xdr:cNvSpPr>
      </xdr:nvSpPr>
      <xdr:spPr bwMode="auto">
        <a:xfrm>
          <a:off x="19030950" y="73380600"/>
          <a:ext cx="76200" cy="85112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8511268"/>
    <xdr:sp macro="" textlink="">
      <xdr:nvSpPr>
        <xdr:cNvPr id="583" name="Text Box 48">
          <a:extLst>
            <a:ext uri="{FF2B5EF4-FFF2-40B4-BE49-F238E27FC236}">
              <a16:creationId xmlns="" xmlns:a16="http://schemas.microsoft.com/office/drawing/2014/main" id="{9600E44D-8EC7-4094-B398-E65BB84A93CD}"/>
            </a:ext>
          </a:extLst>
        </xdr:cNvPr>
        <xdr:cNvSpPr txBox="1">
          <a:spLocks noChangeArrowheads="1"/>
        </xdr:cNvSpPr>
      </xdr:nvSpPr>
      <xdr:spPr bwMode="auto">
        <a:xfrm>
          <a:off x="19030950" y="73380600"/>
          <a:ext cx="76200" cy="85112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871622"/>
    <xdr:sp macro="" textlink="">
      <xdr:nvSpPr>
        <xdr:cNvPr id="584" name="Text Box 803">
          <a:extLst>
            <a:ext uri="{FF2B5EF4-FFF2-40B4-BE49-F238E27FC236}">
              <a16:creationId xmlns="" xmlns:a16="http://schemas.microsoft.com/office/drawing/2014/main" id="{0C199078-330E-4EA0-AC7E-658F010C7CA3}"/>
            </a:ext>
          </a:extLst>
        </xdr:cNvPr>
        <xdr:cNvSpPr txBox="1">
          <a:spLocks noChangeArrowheads="1"/>
        </xdr:cNvSpPr>
      </xdr:nvSpPr>
      <xdr:spPr bwMode="auto">
        <a:xfrm>
          <a:off x="19030950" y="73380600"/>
          <a:ext cx="76200" cy="1787162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90007"/>
    <xdr:sp macro="" textlink="">
      <xdr:nvSpPr>
        <xdr:cNvPr id="586" name="Text Box 277747">
          <a:extLst>
            <a:ext uri="{FF2B5EF4-FFF2-40B4-BE49-F238E27FC236}">
              <a16:creationId xmlns="" xmlns:a16="http://schemas.microsoft.com/office/drawing/2014/main" id="{CFCF52A9-CC75-4745-863A-75A01FBDD4BF}"/>
            </a:ext>
          </a:extLst>
        </xdr:cNvPr>
        <xdr:cNvSpPr txBox="1">
          <a:spLocks noChangeArrowheads="1"/>
        </xdr:cNvSpPr>
      </xdr:nvSpPr>
      <xdr:spPr bwMode="auto">
        <a:xfrm>
          <a:off x="19030950"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90007"/>
    <xdr:sp macro="" textlink="">
      <xdr:nvSpPr>
        <xdr:cNvPr id="587" name="Text Box 277748">
          <a:extLst>
            <a:ext uri="{FF2B5EF4-FFF2-40B4-BE49-F238E27FC236}">
              <a16:creationId xmlns="" xmlns:a16="http://schemas.microsoft.com/office/drawing/2014/main" id="{61AD7609-17BF-4B85-A920-CA5B17502A7F}"/>
            </a:ext>
          </a:extLst>
        </xdr:cNvPr>
        <xdr:cNvSpPr txBox="1">
          <a:spLocks noChangeArrowheads="1"/>
        </xdr:cNvSpPr>
      </xdr:nvSpPr>
      <xdr:spPr bwMode="auto">
        <a:xfrm>
          <a:off x="19030950"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90007"/>
    <xdr:sp macro="" textlink="">
      <xdr:nvSpPr>
        <xdr:cNvPr id="588" name="Text Box 277749">
          <a:extLst>
            <a:ext uri="{FF2B5EF4-FFF2-40B4-BE49-F238E27FC236}">
              <a16:creationId xmlns="" xmlns:a16="http://schemas.microsoft.com/office/drawing/2014/main" id="{0FAFEA26-0D2D-4E83-9F93-FB5A809636E1}"/>
            </a:ext>
          </a:extLst>
        </xdr:cNvPr>
        <xdr:cNvSpPr txBox="1">
          <a:spLocks noChangeArrowheads="1"/>
        </xdr:cNvSpPr>
      </xdr:nvSpPr>
      <xdr:spPr bwMode="auto">
        <a:xfrm>
          <a:off x="19030950"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90007"/>
    <xdr:sp macro="" textlink="">
      <xdr:nvSpPr>
        <xdr:cNvPr id="589" name="Text Box 277750">
          <a:extLst>
            <a:ext uri="{FF2B5EF4-FFF2-40B4-BE49-F238E27FC236}">
              <a16:creationId xmlns="" xmlns:a16="http://schemas.microsoft.com/office/drawing/2014/main" id="{E2C34F79-E2B2-4FF7-BE3C-717A3FDE0DDE}"/>
            </a:ext>
          </a:extLst>
        </xdr:cNvPr>
        <xdr:cNvSpPr txBox="1">
          <a:spLocks noChangeArrowheads="1"/>
        </xdr:cNvSpPr>
      </xdr:nvSpPr>
      <xdr:spPr bwMode="auto">
        <a:xfrm>
          <a:off x="19030950"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32857"/>
    <xdr:sp macro="" textlink="">
      <xdr:nvSpPr>
        <xdr:cNvPr id="590" name="Text Box 277023">
          <a:extLst>
            <a:ext uri="{FF2B5EF4-FFF2-40B4-BE49-F238E27FC236}">
              <a16:creationId xmlns="" xmlns:a16="http://schemas.microsoft.com/office/drawing/2014/main" id="{9D434D8D-FE4F-49E1-B91B-2AA589D1CCD5}"/>
            </a:ext>
          </a:extLst>
        </xdr:cNvPr>
        <xdr:cNvSpPr txBox="1">
          <a:spLocks noChangeArrowheads="1"/>
        </xdr:cNvSpPr>
      </xdr:nvSpPr>
      <xdr:spPr bwMode="auto">
        <a:xfrm>
          <a:off x="19030950"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32857"/>
    <xdr:sp macro="" textlink="">
      <xdr:nvSpPr>
        <xdr:cNvPr id="591" name="Text Box 277024">
          <a:extLst>
            <a:ext uri="{FF2B5EF4-FFF2-40B4-BE49-F238E27FC236}">
              <a16:creationId xmlns="" xmlns:a16="http://schemas.microsoft.com/office/drawing/2014/main" id="{028E556B-9A18-44CC-B8FA-2885183FEF5A}"/>
            </a:ext>
          </a:extLst>
        </xdr:cNvPr>
        <xdr:cNvSpPr txBox="1">
          <a:spLocks noChangeArrowheads="1"/>
        </xdr:cNvSpPr>
      </xdr:nvSpPr>
      <xdr:spPr bwMode="auto">
        <a:xfrm>
          <a:off x="19030950"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32857"/>
    <xdr:sp macro="" textlink="">
      <xdr:nvSpPr>
        <xdr:cNvPr id="592" name="Text Box 277025">
          <a:extLst>
            <a:ext uri="{FF2B5EF4-FFF2-40B4-BE49-F238E27FC236}">
              <a16:creationId xmlns="" xmlns:a16="http://schemas.microsoft.com/office/drawing/2014/main" id="{D16543FD-C76B-44BC-B3E0-A9421B159989}"/>
            </a:ext>
          </a:extLst>
        </xdr:cNvPr>
        <xdr:cNvSpPr txBox="1">
          <a:spLocks noChangeArrowheads="1"/>
        </xdr:cNvSpPr>
      </xdr:nvSpPr>
      <xdr:spPr bwMode="auto">
        <a:xfrm>
          <a:off x="19030950"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32857"/>
    <xdr:sp macro="" textlink="">
      <xdr:nvSpPr>
        <xdr:cNvPr id="593" name="Text Box 277026">
          <a:extLst>
            <a:ext uri="{FF2B5EF4-FFF2-40B4-BE49-F238E27FC236}">
              <a16:creationId xmlns="" xmlns:a16="http://schemas.microsoft.com/office/drawing/2014/main" id="{D1AC0B9B-038B-43EE-8885-89A9321EF872}"/>
            </a:ext>
          </a:extLst>
        </xdr:cNvPr>
        <xdr:cNvSpPr txBox="1">
          <a:spLocks noChangeArrowheads="1"/>
        </xdr:cNvSpPr>
      </xdr:nvSpPr>
      <xdr:spPr bwMode="auto">
        <a:xfrm>
          <a:off x="19030950" y="73380600"/>
          <a:ext cx="76200" cy="16328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94" name="Text Box 198">
          <a:extLst>
            <a:ext uri="{FF2B5EF4-FFF2-40B4-BE49-F238E27FC236}">
              <a16:creationId xmlns="" xmlns:a16="http://schemas.microsoft.com/office/drawing/2014/main" id="{B47D6603-C15F-40F8-B3BF-64AABF0C4C1C}"/>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95" name="Text Box 199">
          <a:extLst>
            <a:ext uri="{FF2B5EF4-FFF2-40B4-BE49-F238E27FC236}">
              <a16:creationId xmlns="" xmlns:a16="http://schemas.microsoft.com/office/drawing/2014/main" id="{AD203495-2F03-470B-A6A5-328B47B8C08B}"/>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96" name="Text Box 208">
          <a:extLst>
            <a:ext uri="{FF2B5EF4-FFF2-40B4-BE49-F238E27FC236}">
              <a16:creationId xmlns="" xmlns:a16="http://schemas.microsoft.com/office/drawing/2014/main" id="{7044AB09-11E2-4351-BAFF-3357EC095446}"/>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97" name="Text Box 209">
          <a:extLst>
            <a:ext uri="{FF2B5EF4-FFF2-40B4-BE49-F238E27FC236}">
              <a16:creationId xmlns="" xmlns:a16="http://schemas.microsoft.com/office/drawing/2014/main" id="{6E97BAFB-6B66-4D97-A52B-D130E839644D}"/>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98" name="Text Box 210">
          <a:extLst>
            <a:ext uri="{FF2B5EF4-FFF2-40B4-BE49-F238E27FC236}">
              <a16:creationId xmlns="" xmlns:a16="http://schemas.microsoft.com/office/drawing/2014/main" id="{B5F09707-E420-4755-BE72-CD4A7AF11AEF}"/>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599" name="Text Box 211">
          <a:extLst>
            <a:ext uri="{FF2B5EF4-FFF2-40B4-BE49-F238E27FC236}">
              <a16:creationId xmlns="" xmlns:a16="http://schemas.microsoft.com/office/drawing/2014/main" id="{9F921634-FBF1-4672-ACB9-0A6BAA868C37}"/>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0" name="Text Box 43">
          <a:extLst>
            <a:ext uri="{FF2B5EF4-FFF2-40B4-BE49-F238E27FC236}">
              <a16:creationId xmlns="" xmlns:a16="http://schemas.microsoft.com/office/drawing/2014/main" id="{DE8A7262-2ACE-427A-8487-7742C5D0AF17}"/>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1" name="Text Box 45">
          <a:extLst>
            <a:ext uri="{FF2B5EF4-FFF2-40B4-BE49-F238E27FC236}">
              <a16:creationId xmlns="" xmlns:a16="http://schemas.microsoft.com/office/drawing/2014/main" id="{7894B52E-2370-48F0-99C6-7F134FD7EB31}"/>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2" name="Text Box 47">
          <a:extLst>
            <a:ext uri="{FF2B5EF4-FFF2-40B4-BE49-F238E27FC236}">
              <a16:creationId xmlns="" xmlns:a16="http://schemas.microsoft.com/office/drawing/2014/main" id="{9871B650-266A-45CA-B4F6-7343198EDC6B}"/>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3" name="Text Box 48">
          <a:extLst>
            <a:ext uri="{FF2B5EF4-FFF2-40B4-BE49-F238E27FC236}">
              <a16:creationId xmlns="" xmlns:a16="http://schemas.microsoft.com/office/drawing/2014/main" id="{10EF0064-8741-41D7-8E67-F7E3700EF834}"/>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4" name="Text Box 394">
          <a:extLst>
            <a:ext uri="{FF2B5EF4-FFF2-40B4-BE49-F238E27FC236}">
              <a16:creationId xmlns="" xmlns:a16="http://schemas.microsoft.com/office/drawing/2014/main" id="{11B4DA9C-0177-4A60-85C5-68B02A502B6E}"/>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5" name="Text Box 395">
          <a:extLst>
            <a:ext uri="{FF2B5EF4-FFF2-40B4-BE49-F238E27FC236}">
              <a16:creationId xmlns="" xmlns:a16="http://schemas.microsoft.com/office/drawing/2014/main" id="{5231F17A-8B37-433B-B1AD-279D73D07E80}"/>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6" name="Text Box 396">
          <a:extLst>
            <a:ext uri="{FF2B5EF4-FFF2-40B4-BE49-F238E27FC236}">
              <a16:creationId xmlns="" xmlns:a16="http://schemas.microsoft.com/office/drawing/2014/main" id="{CA52315C-7F04-420F-AF0C-0BE4A7087F12}"/>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7" name="Text Box 397">
          <a:extLst>
            <a:ext uri="{FF2B5EF4-FFF2-40B4-BE49-F238E27FC236}">
              <a16:creationId xmlns="" xmlns:a16="http://schemas.microsoft.com/office/drawing/2014/main" id="{296D08BE-B479-4C16-8A68-96C10A2F73A5}"/>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8" name="Text Box 43">
          <a:extLst>
            <a:ext uri="{FF2B5EF4-FFF2-40B4-BE49-F238E27FC236}">
              <a16:creationId xmlns="" xmlns:a16="http://schemas.microsoft.com/office/drawing/2014/main" id="{63CA48A0-5544-4FAB-B4AC-360B211AB52A}"/>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09" name="Text Box 45">
          <a:extLst>
            <a:ext uri="{FF2B5EF4-FFF2-40B4-BE49-F238E27FC236}">
              <a16:creationId xmlns="" xmlns:a16="http://schemas.microsoft.com/office/drawing/2014/main" id="{0669C10F-ED0B-40ED-968C-1938CABA67B9}"/>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10" name="Text Box 47">
          <a:extLst>
            <a:ext uri="{FF2B5EF4-FFF2-40B4-BE49-F238E27FC236}">
              <a16:creationId xmlns="" xmlns:a16="http://schemas.microsoft.com/office/drawing/2014/main" id="{F12A8D23-6A7B-494A-AE70-D66945BE4B47}"/>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11" name="Text Box 48">
          <a:extLst>
            <a:ext uri="{FF2B5EF4-FFF2-40B4-BE49-F238E27FC236}">
              <a16:creationId xmlns="" xmlns:a16="http://schemas.microsoft.com/office/drawing/2014/main" id="{AC5BC4A9-CD72-4CED-A160-57CE89FF95B8}"/>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1610975"/>
    <xdr:sp macro="" textlink="">
      <xdr:nvSpPr>
        <xdr:cNvPr id="612" name="Text Box 607">
          <a:extLst>
            <a:ext uri="{FF2B5EF4-FFF2-40B4-BE49-F238E27FC236}">
              <a16:creationId xmlns="" xmlns:a16="http://schemas.microsoft.com/office/drawing/2014/main" id="{0820D442-0EAC-4ED0-BA53-26057ABADF80}"/>
            </a:ext>
          </a:extLst>
        </xdr:cNvPr>
        <xdr:cNvSpPr txBox="1">
          <a:spLocks noChangeArrowheads="1"/>
        </xdr:cNvSpPr>
      </xdr:nvSpPr>
      <xdr:spPr bwMode="auto">
        <a:xfrm>
          <a:off x="19030950" y="73380600"/>
          <a:ext cx="76200" cy="1161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1610975"/>
    <xdr:sp macro="" textlink="">
      <xdr:nvSpPr>
        <xdr:cNvPr id="613" name="Text Box 608">
          <a:extLst>
            <a:ext uri="{FF2B5EF4-FFF2-40B4-BE49-F238E27FC236}">
              <a16:creationId xmlns="" xmlns:a16="http://schemas.microsoft.com/office/drawing/2014/main" id="{07A8D04F-A49B-41C4-9364-9E7BCFCC81B0}"/>
            </a:ext>
          </a:extLst>
        </xdr:cNvPr>
        <xdr:cNvSpPr txBox="1">
          <a:spLocks noChangeArrowheads="1"/>
        </xdr:cNvSpPr>
      </xdr:nvSpPr>
      <xdr:spPr bwMode="auto">
        <a:xfrm>
          <a:off x="19030950" y="73380600"/>
          <a:ext cx="76200" cy="1161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14" name="Text Box 617">
          <a:extLst>
            <a:ext uri="{FF2B5EF4-FFF2-40B4-BE49-F238E27FC236}">
              <a16:creationId xmlns="" xmlns:a16="http://schemas.microsoft.com/office/drawing/2014/main" id="{E7E94CFC-9BB6-459A-BE67-C05680B17E9E}"/>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15" name="Text Box 618">
          <a:extLst>
            <a:ext uri="{FF2B5EF4-FFF2-40B4-BE49-F238E27FC236}">
              <a16:creationId xmlns="" xmlns:a16="http://schemas.microsoft.com/office/drawing/2014/main" id="{974DB55A-D8B7-4ACA-979D-3DCA8BCA2821}"/>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16" name="Text Box 619">
          <a:extLst>
            <a:ext uri="{FF2B5EF4-FFF2-40B4-BE49-F238E27FC236}">
              <a16:creationId xmlns="" xmlns:a16="http://schemas.microsoft.com/office/drawing/2014/main" id="{709010BA-9E25-4D2E-98C3-C8C608D294AD}"/>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17" name="Text Box 620">
          <a:extLst>
            <a:ext uri="{FF2B5EF4-FFF2-40B4-BE49-F238E27FC236}">
              <a16:creationId xmlns="" xmlns:a16="http://schemas.microsoft.com/office/drawing/2014/main" id="{35217170-5BF6-46DF-98F2-DF6148B4485E}"/>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18" name="Text Box 43">
          <a:extLst>
            <a:ext uri="{FF2B5EF4-FFF2-40B4-BE49-F238E27FC236}">
              <a16:creationId xmlns="" xmlns:a16="http://schemas.microsoft.com/office/drawing/2014/main" id="{E6EC9E12-8356-47B4-92DB-5AAB3019A88D}"/>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19" name="Text Box 45">
          <a:extLst>
            <a:ext uri="{FF2B5EF4-FFF2-40B4-BE49-F238E27FC236}">
              <a16:creationId xmlns="" xmlns:a16="http://schemas.microsoft.com/office/drawing/2014/main" id="{3CE394E6-2C9C-46C0-A68D-EBAC1E9197DA}"/>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20" name="Text Box 47">
          <a:extLst>
            <a:ext uri="{FF2B5EF4-FFF2-40B4-BE49-F238E27FC236}">
              <a16:creationId xmlns="" xmlns:a16="http://schemas.microsoft.com/office/drawing/2014/main" id="{96FE2509-0D92-4249-8373-103CA7804185}"/>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7675790"/>
    <xdr:sp macro="" textlink="">
      <xdr:nvSpPr>
        <xdr:cNvPr id="621" name="Text Box 48">
          <a:extLst>
            <a:ext uri="{FF2B5EF4-FFF2-40B4-BE49-F238E27FC236}">
              <a16:creationId xmlns="" xmlns:a16="http://schemas.microsoft.com/office/drawing/2014/main" id="{34AC95F7-B4F1-41D2-A75E-2A88A75E255A}"/>
            </a:ext>
          </a:extLst>
        </xdr:cNvPr>
        <xdr:cNvSpPr txBox="1">
          <a:spLocks noChangeArrowheads="1"/>
        </xdr:cNvSpPr>
      </xdr:nvSpPr>
      <xdr:spPr bwMode="auto">
        <a:xfrm>
          <a:off x="19030950" y="73380600"/>
          <a:ext cx="76200" cy="76757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871622"/>
    <xdr:sp macro="" textlink="">
      <xdr:nvSpPr>
        <xdr:cNvPr id="622" name="Text Box 803">
          <a:extLst>
            <a:ext uri="{FF2B5EF4-FFF2-40B4-BE49-F238E27FC236}">
              <a16:creationId xmlns="" xmlns:a16="http://schemas.microsoft.com/office/drawing/2014/main" id="{B3526DF1-EE1A-47F8-8A1A-D1650C9CE555}"/>
            </a:ext>
          </a:extLst>
        </xdr:cNvPr>
        <xdr:cNvSpPr txBox="1">
          <a:spLocks noChangeArrowheads="1"/>
        </xdr:cNvSpPr>
      </xdr:nvSpPr>
      <xdr:spPr bwMode="auto">
        <a:xfrm>
          <a:off x="19030950" y="73380600"/>
          <a:ext cx="76200" cy="1787162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90007"/>
    <xdr:sp macro="" textlink="">
      <xdr:nvSpPr>
        <xdr:cNvPr id="623" name="Text Box 277747">
          <a:extLst>
            <a:ext uri="{FF2B5EF4-FFF2-40B4-BE49-F238E27FC236}">
              <a16:creationId xmlns="" xmlns:a16="http://schemas.microsoft.com/office/drawing/2014/main" id="{3AECBF6D-5BBF-464F-B4BC-4E7B23F27236}"/>
            </a:ext>
          </a:extLst>
        </xdr:cNvPr>
        <xdr:cNvSpPr txBox="1">
          <a:spLocks noChangeArrowheads="1"/>
        </xdr:cNvSpPr>
      </xdr:nvSpPr>
      <xdr:spPr bwMode="auto">
        <a:xfrm>
          <a:off x="19030950"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90007"/>
    <xdr:sp macro="" textlink="">
      <xdr:nvSpPr>
        <xdr:cNvPr id="624" name="Text Box 277748">
          <a:extLst>
            <a:ext uri="{FF2B5EF4-FFF2-40B4-BE49-F238E27FC236}">
              <a16:creationId xmlns="" xmlns:a16="http://schemas.microsoft.com/office/drawing/2014/main" id="{975128B5-D035-4873-BF1A-9D1480692943}"/>
            </a:ext>
          </a:extLst>
        </xdr:cNvPr>
        <xdr:cNvSpPr txBox="1">
          <a:spLocks noChangeArrowheads="1"/>
        </xdr:cNvSpPr>
      </xdr:nvSpPr>
      <xdr:spPr bwMode="auto">
        <a:xfrm>
          <a:off x="19030950"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90007"/>
    <xdr:sp macro="" textlink="">
      <xdr:nvSpPr>
        <xdr:cNvPr id="625" name="Text Box 277749">
          <a:extLst>
            <a:ext uri="{FF2B5EF4-FFF2-40B4-BE49-F238E27FC236}">
              <a16:creationId xmlns="" xmlns:a16="http://schemas.microsoft.com/office/drawing/2014/main" id="{60509B31-5458-4CB4-9CBD-41150D381E3B}"/>
            </a:ext>
          </a:extLst>
        </xdr:cNvPr>
        <xdr:cNvSpPr txBox="1">
          <a:spLocks noChangeArrowheads="1"/>
        </xdr:cNvSpPr>
      </xdr:nvSpPr>
      <xdr:spPr bwMode="auto">
        <a:xfrm>
          <a:off x="19030950"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90007"/>
    <xdr:sp macro="" textlink="">
      <xdr:nvSpPr>
        <xdr:cNvPr id="626" name="Text Box 277750">
          <a:extLst>
            <a:ext uri="{FF2B5EF4-FFF2-40B4-BE49-F238E27FC236}">
              <a16:creationId xmlns="" xmlns:a16="http://schemas.microsoft.com/office/drawing/2014/main" id="{891B1025-E7DA-40F0-B64A-06223FDD1DA5}"/>
            </a:ext>
          </a:extLst>
        </xdr:cNvPr>
        <xdr:cNvSpPr txBox="1">
          <a:spLocks noChangeArrowheads="1"/>
        </xdr:cNvSpPr>
      </xdr:nvSpPr>
      <xdr:spPr bwMode="auto">
        <a:xfrm>
          <a:off x="19030950" y="73380600"/>
          <a:ext cx="76200" cy="16900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27" name="Text Box 43">
          <a:extLst>
            <a:ext uri="{FF2B5EF4-FFF2-40B4-BE49-F238E27FC236}">
              <a16:creationId xmlns="" xmlns:a16="http://schemas.microsoft.com/office/drawing/2014/main" id="{A20E91A1-BD2F-4C0F-9954-DD1B816ABE24}"/>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28" name="Text Box 45">
          <a:extLst>
            <a:ext uri="{FF2B5EF4-FFF2-40B4-BE49-F238E27FC236}">
              <a16:creationId xmlns="" xmlns:a16="http://schemas.microsoft.com/office/drawing/2014/main" id="{09BCF1B6-9DE0-431E-89BD-9BE43DC82A31}"/>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29" name="Text Box 47">
          <a:extLst>
            <a:ext uri="{FF2B5EF4-FFF2-40B4-BE49-F238E27FC236}">
              <a16:creationId xmlns="" xmlns:a16="http://schemas.microsoft.com/office/drawing/2014/main" id="{8ABAB373-D386-464E-85C3-1A63CAD62D6B}"/>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30" name="Text Box 48">
          <a:extLst>
            <a:ext uri="{FF2B5EF4-FFF2-40B4-BE49-F238E27FC236}">
              <a16:creationId xmlns="" xmlns:a16="http://schemas.microsoft.com/office/drawing/2014/main" id="{0DF0E586-EBEE-4970-BBBB-0E077A91280E}"/>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31" name="Text Box 49">
          <a:extLst>
            <a:ext uri="{FF2B5EF4-FFF2-40B4-BE49-F238E27FC236}">
              <a16:creationId xmlns="" xmlns:a16="http://schemas.microsoft.com/office/drawing/2014/main" id="{88B60268-5294-4D1E-8E7D-BE2E384B2C1B}"/>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32" name="Text Box 50">
          <a:extLst>
            <a:ext uri="{FF2B5EF4-FFF2-40B4-BE49-F238E27FC236}">
              <a16:creationId xmlns="" xmlns:a16="http://schemas.microsoft.com/office/drawing/2014/main" id="{41F2B7F8-6BFA-40FA-BF72-A66C07043182}"/>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33" name="Text Box 64">
          <a:extLst>
            <a:ext uri="{FF2B5EF4-FFF2-40B4-BE49-F238E27FC236}">
              <a16:creationId xmlns="" xmlns:a16="http://schemas.microsoft.com/office/drawing/2014/main" id="{C73325DA-F406-4C34-B8A8-65FB2112438F}"/>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34" name="Text Box 65">
          <a:extLst>
            <a:ext uri="{FF2B5EF4-FFF2-40B4-BE49-F238E27FC236}">
              <a16:creationId xmlns="" xmlns:a16="http://schemas.microsoft.com/office/drawing/2014/main" id="{24865951-6960-47A2-85C3-08E4F7520B40}"/>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35" name="Text Box 66">
          <a:extLst>
            <a:ext uri="{FF2B5EF4-FFF2-40B4-BE49-F238E27FC236}">
              <a16:creationId xmlns="" xmlns:a16="http://schemas.microsoft.com/office/drawing/2014/main" id="{D3216C0F-3A33-4495-9D90-7ED8D25CBEB1}"/>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36" name="Text Box 67">
          <a:extLst>
            <a:ext uri="{FF2B5EF4-FFF2-40B4-BE49-F238E27FC236}">
              <a16:creationId xmlns="" xmlns:a16="http://schemas.microsoft.com/office/drawing/2014/main" id="{3BDB3C35-B7F4-410A-87D5-EA543B231938}"/>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637" name="Text Box 68">
          <a:extLst>
            <a:ext uri="{FF2B5EF4-FFF2-40B4-BE49-F238E27FC236}">
              <a16:creationId xmlns="" xmlns:a16="http://schemas.microsoft.com/office/drawing/2014/main" id="{13619665-A0FE-4EB3-85B9-4511BEF005B4}"/>
            </a:ext>
          </a:extLst>
        </xdr:cNvPr>
        <xdr:cNvSpPr txBox="1">
          <a:spLocks noChangeArrowheads="1"/>
        </xdr:cNvSpPr>
      </xdr:nvSpPr>
      <xdr:spPr bwMode="auto">
        <a:xfrm>
          <a:off x="1797367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638" name="Text Box 69">
          <a:extLst>
            <a:ext uri="{FF2B5EF4-FFF2-40B4-BE49-F238E27FC236}">
              <a16:creationId xmlns="" xmlns:a16="http://schemas.microsoft.com/office/drawing/2014/main" id="{0441FC37-CBE5-4B61-B938-8659EF1319DC}"/>
            </a:ext>
          </a:extLst>
        </xdr:cNvPr>
        <xdr:cNvSpPr txBox="1">
          <a:spLocks noChangeArrowheads="1"/>
        </xdr:cNvSpPr>
      </xdr:nvSpPr>
      <xdr:spPr bwMode="auto">
        <a:xfrm>
          <a:off x="1797367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39" name="Text Box 70">
          <a:extLst>
            <a:ext uri="{FF2B5EF4-FFF2-40B4-BE49-F238E27FC236}">
              <a16:creationId xmlns="" xmlns:a16="http://schemas.microsoft.com/office/drawing/2014/main" id="{C1CB5D1E-3783-4867-BFEC-3E8166A16D37}"/>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640" name="Text Box 71">
          <a:extLst>
            <a:ext uri="{FF2B5EF4-FFF2-40B4-BE49-F238E27FC236}">
              <a16:creationId xmlns="" xmlns:a16="http://schemas.microsoft.com/office/drawing/2014/main" id="{76B3C91E-3DFE-46FF-810D-C0AFCBD6BD56}"/>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41" name="Text Box 72">
          <a:extLst>
            <a:ext uri="{FF2B5EF4-FFF2-40B4-BE49-F238E27FC236}">
              <a16:creationId xmlns="" xmlns:a16="http://schemas.microsoft.com/office/drawing/2014/main" id="{2E8D3FD6-CFF1-4CD8-ABCE-34525092C402}"/>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42" name="Text Box 73">
          <a:extLst>
            <a:ext uri="{FF2B5EF4-FFF2-40B4-BE49-F238E27FC236}">
              <a16:creationId xmlns="" xmlns:a16="http://schemas.microsoft.com/office/drawing/2014/main" id="{D1CFA355-4236-4A58-A030-CB804E49E1D6}"/>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42207"/>
    <xdr:sp macro="" textlink="">
      <xdr:nvSpPr>
        <xdr:cNvPr id="643" name="Text Box 19">
          <a:extLst>
            <a:ext uri="{FF2B5EF4-FFF2-40B4-BE49-F238E27FC236}">
              <a16:creationId xmlns="" xmlns:a16="http://schemas.microsoft.com/office/drawing/2014/main" id="{3B197290-6B78-4BD3-907A-0B7120BE3AB8}"/>
            </a:ext>
          </a:extLst>
        </xdr:cNvPr>
        <xdr:cNvSpPr txBox="1">
          <a:spLocks noChangeArrowheads="1"/>
        </xdr:cNvSpPr>
      </xdr:nvSpPr>
      <xdr:spPr bwMode="auto">
        <a:xfrm>
          <a:off x="16916400"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42207"/>
    <xdr:sp macro="" textlink="">
      <xdr:nvSpPr>
        <xdr:cNvPr id="644" name="Text Box 20">
          <a:extLst>
            <a:ext uri="{FF2B5EF4-FFF2-40B4-BE49-F238E27FC236}">
              <a16:creationId xmlns="" xmlns:a16="http://schemas.microsoft.com/office/drawing/2014/main" id="{8B06C6EF-C8CA-435C-A974-93EC8F1F5E55}"/>
            </a:ext>
          </a:extLst>
        </xdr:cNvPr>
        <xdr:cNvSpPr txBox="1">
          <a:spLocks noChangeArrowheads="1"/>
        </xdr:cNvSpPr>
      </xdr:nvSpPr>
      <xdr:spPr bwMode="auto">
        <a:xfrm>
          <a:off x="16916400"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45" name="Text Box 21">
          <a:extLst>
            <a:ext uri="{FF2B5EF4-FFF2-40B4-BE49-F238E27FC236}">
              <a16:creationId xmlns="" xmlns:a16="http://schemas.microsoft.com/office/drawing/2014/main" id="{51C146CD-E53C-4991-B3D6-12709C11D68A}"/>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46" name="Text Box 22">
          <a:extLst>
            <a:ext uri="{FF2B5EF4-FFF2-40B4-BE49-F238E27FC236}">
              <a16:creationId xmlns="" xmlns:a16="http://schemas.microsoft.com/office/drawing/2014/main" id="{6F933B35-D055-4250-A30E-4171D93E5D5D}"/>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47" name="Text Box 23">
          <a:extLst>
            <a:ext uri="{FF2B5EF4-FFF2-40B4-BE49-F238E27FC236}">
              <a16:creationId xmlns="" xmlns:a16="http://schemas.microsoft.com/office/drawing/2014/main" id="{CD2CD1A8-DB76-4213-AD0A-92EE7D647C76}"/>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48" name="Text Box 24">
          <a:extLst>
            <a:ext uri="{FF2B5EF4-FFF2-40B4-BE49-F238E27FC236}">
              <a16:creationId xmlns="" xmlns:a16="http://schemas.microsoft.com/office/drawing/2014/main" id="{9B3D1E17-45B2-4B9F-B2ED-6423C9C13D96}"/>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49" name="Text Box 25">
          <a:extLst>
            <a:ext uri="{FF2B5EF4-FFF2-40B4-BE49-F238E27FC236}">
              <a16:creationId xmlns="" xmlns:a16="http://schemas.microsoft.com/office/drawing/2014/main" id="{2BC2CDAF-B596-410F-8C69-A841A9EA4BCD}"/>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50" name="Text Box 26">
          <a:extLst>
            <a:ext uri="{FF2B5EF4-FFF2-40B4-BE49-F238E27FC236}">
              <a16:creationId xmlns="" xmlns:a16="http://schemas.microsoft.com/office/drawing/2014/main" id="{8EF5B389-DD89-4FC6-BE18-DEB6550E7DEF}"/>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51" name="Text Box 27">
          <a:extLst>
            <a:ext uri="{FF2B5EF4-FFF2-40B4-BE49-F238E27FC236}">
              <a16:creationId xmlns="" xmlns:a16="http://schemas.microsoft.com/office/drawing/2014/main" id="{D2D5780F-82E5-475E-9E06-CD17E3BC4FC6}"/>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52" name="Text Box 28">
          <a:extLst>
            <a:ext uri="{FF2B5EF4-FFF2-40B4-BE49-F238E27FC236}">
              <a16:creationId xmlns="" xmlns:a16="http://schemas.microsoft.com/office/drawing/2014/main" id="{D22F6B8F-70D5-454E-88F9-A461C874029B}"/>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53" name="Text Box 29">
          <a:extLst>
            <a:ext uri="{FF2B5EF4-FFF2-40B4-BE49-F238E27FC236}">
              <a16:creationId xmlns="" xmlns:a16="http://schemas.microsoft.com/office/drawing/2014/main" id="{F962210E-FF23-405C-A549-91DB8B010247}"/>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54" name="Text Box 30">
          <a:extLst>
            <a:ext uri="{FF2B5EF4-FFF2-40B4-BE49-F238E27FC236}">
              <a16:creationId xmlns="" xmlns:a16="http://schemas.microsoft.com/office/drawing/2014/main" id="{AFF1CF1F-FBA8-40F0-B4B2-C5CE33A6AB9A}"/>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55" name="Text Box 31">
          <a:extLst>
            <a:ext uri="{FF2B5EF4-FFF2-40B4-BE49-F238E27FC236}">
              <a16:creationId xmlns="" xmlns:a16="http://schemas.microsoft.com/office/drawing/2014/main" id="{37224D57-6958-44DE-AF31-2DC7A28CD9A2}"/>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56" name="Text Box 32">
          <a:extLst>
            <a:ext uri="{FF2B5EF4-FFF2-40B4-BE49-F238E27FC236}">
              <a16:creationId xmlns="" xmlns:a16="http://schemas.microsoft.com/office/drawing/2014/main" id="{B78D236A-69F8-4EF5-9AEB-8F6B1C529B61}"/>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57" name="Text Box 33">
          <a:extLst>
            <a:ext uri="{FF2B5EF4-FFF2-40B4-BE49-F238E27FC236}">
              <a16:creationId xmlns="" xmlns:a16="http://schemas.microsoft.com/office/drawing/2014/main" id="{A9D9770A-0DFC-4E56-B257-A54F94085FE2}"/>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58" name="Text Box 34">
          <a:extLst>
            <a:ext uri="{FF2B5EF4-FFF2-40B4-BE49-F238E27FC236}">
              <a16:creationId xmlns="" xmlns:a16="http://schemas.microsoft.com/office/drawing/2014/main" id="{355D0BFD-DC78-4C14-8C73-9CB27D5C1F2C}"/>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659" name="Text Box 35">
          <a:extLst>
            <a:ext uri="{FF2B5EF4-FFF2-40B4-BE49-F238E27FC236}">
              <a16:creationId xmlns="" xmlns:a16="http://schemas.microsoft.com/office/drawing/2014/main" id="{A782CDD8-F65B-453C-AEBB-794815C66FC6}"/>
            </a:ext>
          </a:extLst>
        </xdr:cNvPr>
        <xdr:cNvSpPr txBox="1">
          <a:spLocks noChangeArrowheads="1"/>
        </xdr:cNvSpPr>
      </xdr:nvSpPr>
      <xdr:spPr bwMode="auto">
        <a:xfrm>
          <a:off x="1691640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660" name="Text Box 36">
          <a:extLst>
            <a:ext uri="{FF2B5EF4-FFF2-40B4-BE49-F238E27FC236}">
              <a16:creationId xmlns="" xmlns:a16="http://schemas.microsoft.com/office/drawing/2014/main" id="{0CFBAC21-E85F-4573-99FB-ED689B65A02C}"/>
            </a:ext>
          </a:extLst>
        </xdr:cNvPr>
        <xdr:cNvSpPr txBox="1">
          <a:spLocks noChangeArrowheads="1"/>
        </xdr:cNvSpPr>
      </xdr:nvSpPr>
      <xdr:spPr bwMode="auto">
        <a:xfrm>
          <a:off x="1691640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61" name="Text Box 37">
          <a:extLst>
            <a:ext uri="{FF2B5EF4-FFF2-40B4-BE49-F238E27FC236}">
              <a16:creationId xmlns="" xmlns:a16="http://schemas.microsoft.com/office/drawing/2014/main" id="{6789C6CD-38CA-4F35-B152-AF3206B19F39}"/>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62" name="Text Box 38">
          <a:extLst>
            <a:ext uri="{FF2B5EF4-FFF2-40B4-BE49-F238E27FC236}">
              <a16:creationId xmlns="" xmlns:a16="http://schemas.microsoft.com/office/drawing/2014/main" id="{76DADEF2-FBAD-41FB-913C-DC6FFEA34BBD}"/>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63" name="Text Box 39">
          <a:extLst>
            <a:ext uri="{FF2B5EF4-FFF2-40B4-BE49-F238E27FC236}">
              <a16:creationId xmlns="" xmlns:a16="http://schemas.microsoft.com/office/drawing/2014/main" id="{6F75CDA9-03BD-4312-B8E4-A520461FD18A}"/>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64" name="Text Box 40">
          <a:extLst>
            <a:ext uri="{FF2B5EF4-FFF2-40B4-BE49-F238E27FC236}">
              <a16:creationId xmlns="" xmlns:a16="http://schemas.microsoft.com/office/drawing/2014/main" id="{26DBB321-67CE-4EED-B77A-D7B12CC40C6A}"/>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65" name="Text Box 41">
          <a:extLst>
            <a:ext uri="{FF2B5EF4-FFF2-40B4-BE49-F238E27FC236}">
              <a16:creationId xmlns="" xmlns:a16="http://schemas.microsoft.com/office/drawing/2014/main" id="{E391C1AD-A85C-436F-8B65-50985AC79124}"/>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66" name="Text Box 42">
          <a:extLst>
            <a:ext uri="{FF2B5EF4-FFF2-40B4-BE49-F238E27FC236}">
              <a16:creationId xmlns="" xmlns:a16="http://schemas.microsoft.com/office/drawing/2014/main" id="{92535DCE-E3A2-401F-9517-4C0FA8C7B095}"/>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67" name="Text Box 43">
          <a:extLst>
            <a:ext uri="{FF2B5EF4-FFF2-40B4-BE49-F238E27FC236}">
              <a16:creationId xmlns="" xmlns:a16="http://schemas.microsoft.com/office/drawing/2014/main" id="{42F2E744-EF11-40CA-B7D9-216981648FC9}"/>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68" name="Text Box 44">
          <a:extLst>
            <a:ext uri="{FF2B5EF4-FFF2-40B4-BE49-F238E27FC236}">
              <a16:creationId xmlns="" xmlns:a16="http://schemas.microsoft.com/office/drawing/2014/main" id="{0F8A66C0-BAA3-4B72-846C-075654116429}"/>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69" name="Text Box 45">
          <a:extLst>
            <a:ext uri="{FF2B5EF4-FFF2-40B4-BE49-F238E27FC236}">
              <a16:creationId xmlns="" xmlns:a16="http://schemas.microsoft.com/office/drawing/2014/main" id="{3DDA4290-E77F-491A-8118-7A4DA540C350}"/>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70" name="Text Box 46">
          <a:extLst>
            <a:ext uri="{FF2B5EF4-FFF2-40B4-BE49-F238E27FC236}">
              <a16:creationId xmlns="" xmlns:a16="http://schemas.microsoft.com/office/drawing/2014/main" id="{3B7434F8-FB61-4BAD-808E-9404AE7301FD}"/>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71" name="Text Box 47">
          <a:extLst>
            <a:ext uri="{FF2B5EF4-FFF2-40B4-BE49-F238E27FC236}">
              <a16:creationId xmlns="" xmlns:a16="http://schemas.microsoft.com/office/drawing/2014/main" id="{7CE6B5E7-83C3-4687-917C-8DD36E6ED08E}"/>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72" name="Text Box 48">
          <a:extLst>
            <a:ext uri="{FF2B5EF4-FFF2-40B4-BE49-F238E27FC236}">
              <a16:creationId xmlns="" xmlns:a16="http://schemas.microsoft.com/office/drawing/2014/main" id="{42E531AE-DF4A-4E43-AD04-EF35C720EB2B}"/>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73" name="Text Box 49">
          <a:extLst>
            <a:ext uri="{FF2B5EF4-FFF2-40B4-BE49-F238E27FC236}">
              <a16:creationId xmlns="" xmlns:a16="http://schemas.microsoft.com/office/drawing/2014/main" id="{073CF539-C214-407E-B7CA-BDD8C9F13E25}"/>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74" name="Text Box 50">
          <a:extLst>
            <a:ext uri="{FF2B5EF4-FFF2-40B4-BE49-F238E27FC236}">
              <a16:creationId xmlns="" xmlns:a16="http://schemas.microsoft.com/office/drawing/2014/main" id="{3C64D1A9-A344-44DC-96E3-0FCB802F4432}"/>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675" name="Text Box 51">
          <a:extLst>
            <a:ext uri="{FF2B5EF4-FFF2-40B4-BE49-F238E27FC236}">
              <a16:creationId xmlns="" xmlns:a16="http://schemas.microsoft.com/office/drawing/2014/main" id="{513766B9-9A6F-4A14-B2F4-EBB18A016BE5}"/>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676" name="Text Box 52">
          <a:extLst>
            <a:ext uri="{FF2B5EF4-FFF2-40B4-BE49-F238E27FC236}">
              <a16:creationId xmlns="" xmlns:a16="http://schemas.microsoft.com/office/drawing/2014/main" id="{843CB604-461B-4231-BA96-8642E5BC954F}"/>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677" name="Text Box 53">
          <a:extLst>
            <a:ext uri="{FF2B5EF4-FFF2-40B4-BE49-F238E27FC236}">
              <a16:creationId xmlns="" xmlns:a16="http://schemas.microsoft.com/office/drawing/2014/main" id="{153A3447-04A5-4CA8-A6C5-91297DDA319A}"/>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678" name="Text Box 54">
          <a:extLst>
            <a:ext uri="{FF2B5EF4-FFF2-40B4-BE49-F238E27FC236}">
              <a16:creationId xmlns="" xmlns:a16="http://schemas.microsoft.com/office/drawing/2014/main" id="{3783AC54-1983-4E97-AF3E-A318AABE2BA9}"/>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79" name="Text Box 55">
          <a:extLst>
            <a:ext uri="{FF2B5EF4-FFF2-40B4-BE49-F238E27FC236}">
              <a16:creationId xmlns="" xmlns:a16="http://schemas.microsoft.com/office/drawing/2014/main" id="{0B04FFF9-55A3-4861-8B2C-E33F6242FEB8}"/>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80" name="Text Box 56">
          <a:extLst>
            <a:ext uri="{FF2B5EF4-FFF2-40B4-BE49-F238E27FC236}">
              <a16:creationId xmlns="" xmlns:a16="http://schemas.microsoft.com/office/drawing/2014/main" id="{0A7C1CB1-BF79-40C1-8580-177B482DDB08}"/>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681" name="Text Box 57">
          <a:extLst>
            <a:ext uri="{FF2B5EF4-FFF2-40B4-BE49-F238E27FC236}">
              <a16:creationId xmlns="" xmlns:a16="http://schemas.microsoft.com/office/drawing/2014/main" id="{0A041799-DACE-40E8-B694-33B7157CF728}"/>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682" name="Text Box 58">
          <a:extLst>
            <a:ext uri="{FF2B5EF4-FFF2-40B4-BE49-F238E27FC236}">
              <a16:creationId xmlns="" xmlns:a16="http://schemas.microsoft.com/office/drawing/2014/main" id="{AA09A1A4-3934-47D9-BA95-B5E0BB7ABC4C}"/>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83" name="Text Box 59">
          <a:extLst>
            <a:ext uri="{FF2B5EF4-FFF2-40B4-BE49-F238E27FC236}">
              <a16:creationId xmlns="" xmlns:a16="http://schemas.microsoft.com/office/drawing/2014/main" id="{4F98228B-BE50-4B1F-901A-59B022CAE68B}"/>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84" name="Text Box 60">
          <a:extLst>
            <a:ext uri="{FF2B5EF4-FFF2-40B4-BE49-F238E27FC236}">
              <a16:creationId xmlns="" xmlns:a16="http://schemas.microsoft.com/office/drawing/2014/main" id="{F571ACEB-C923-4EEC-A173-205479DF6808}"/>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85" name="Text Box 61">
          <a:extLst>
            <a:ext uri="{FF2B5EF4-FFF2-40B4-BE49-F238E27FC236}">
              <a16:creationId xmlns="" xmlns:a16="http://schemas.microsoft.com/office/drawing/2014/main" id="{BC978FAF-EB49-4942-A7EE-83170E5D8EEF}"/>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86" name="Text Box 62">
          <a:extLst>
            <a:ext uri="{FF2B5EF4-FFF2-40B4-BE49-F238E27FC236}">
              <a16:creationId xmlns="" xmlns:a16="http://schemas.microsoft.com/office/drawing/2014/main" id="{DE555D10-E658-4403-82D7-FF6EB2173647}"/>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87" name="Text Box 63">
          <a:extLst>
            <a:ext uri="{FF2B5EF4-FFF2-40B4-BE49-F238E27FC236}">
              <a16:creationId xmlns="" xmlns:a16="http://schemas.microsoft.com/office/drawing/2014/main" id="{4AE26F6C-0F59-4D49-A9FF-785481E56000}"/>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688" name="Text Box 64">
          <a:extLst>
            <a:ext uri="{FF2B5EF4-FFF2-40B4-BE49-F238E27FC236}">
              <a16:creationId xmlns="" xmlns:a16="http://schemas.microsoft.com/office/drawing/2014/main" id="{545F94B1-D4DC-4E80-8A3F-0C161D4A6D96}"/>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689" name="Text Box 65">
          <a:extLst>
            <a:ext uri="{FF2B5EF4-FFF2-40B4-BE49-F238E27FC236}">
              <a16:creationId xmlns="" xmlns:a16="http://schemas.microsoft.com/office/drawing/2014/main" id="{E6FF584B-1CD4-444D-A810-0373D445A2E4}"/>
            </a:ext>
          </a:extLst>
        </xdr:cNvPr>
        <xdr:cNvSpPr txBox="1">
          <a:spLocks noChangeArrowheads="1"/>
        </xdr:cNvSpPr>
      </xdr:nvSpPr>
      <xdr:spPr bwMode="auto">
        <a:xfrm>
          <a:off x="16916400"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690" name="Text Box 66">
          <a:extLst>
            <a:ext uri="{FF2B5EF4-FFF2-40B4-BE49-F238E27FC236}">
              <a16:creationId xmlns="" xmlns:a16="http://schemas.microsoft.com/office/drawing/2014/main" id="{637B1421-41A6-40C7-93C8-47EFA759B796}"/>
            </a:ext>
          </a:extLst>
        </xdr:cNvPr>
        <xdr:cNvSpPr txBox="1">
          <a:spLocks noChangeArrowheads="1"/>
        </xdr:cNvSpPr>
      </xdr:nvSpPr>
      <xdr:spPr bwMode="auto">
        <a:xfrm>
          <a:off x="16916400"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327932"/>
    <xdr:sp macro="" textlink="">
      <xdr:nvSpPr>
        <xdr:cNvPr id="691" name="Text Box 67">
          <a:extLst>
            <a:ext uri="{FF2B5EF4-FFF2-40B4-BE49-F238E27FC236}">
              <a16:creationId xmlns="" xmlns:a16="http://schemas.microsoft.com/office/drawing/2014/main" id="{03EE395B-085B-4BD0-A721-E7F051D04103}"/>
            </a:ext>
          </a:extLst>
        </xdr:cNvPr>
        <xdr:cNvSpPr txBox="1">
          <a:spLocks noChangeArrowheads="1"/>
        </xdr:cNvSpPr>
      </xdr:nvSpPr>
      <xdr:spPr bwMode="auto">
        <a:xfrm>
          <a:off x="16916400"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327932"/>
    <xdr:sp macro="" textlink="">
      <xdr:nvSpPr>
        <xdr:cNvPr id="692" name="Text Box 68">
          <a:extLst>
            <a:ext uri="{FF2B5EF4-FFF2-40B4-BE49-F238E27FC236}">
              <a16:creationId xmlns="" xmlns:a16="http://schemas.microsoft.com/office/drawing/2014/main" id="{30350A6D-42FE-4EED-BB4D-3E716C1390E7}"/>
            </a:ext>
          </a:extLst>
        </xdr:cNvPr>
        <xdr:cNvSpPr txBox="1">
          <a:spLocks noChangeArrowheads="1"/>
        </xdr:cNvSpPr>
      </xdr:nvSpPr>
      <xdr:spPr bwMode="auto">
        <a:xfrm>
          <a:off x="16916400"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693" name="Text Box 69">
          <a:extLst>
            <a:ext uri="{FF2B5EF4-FFF2-40B4-BE49-F238E27FC236}">
              <a16:creationId xmlns="" xmlns:a16="http://schemas.microsoft.com/office/drawing/2014/main" id="{BB4F380A-E6A4-4975-9CCE-E83A983ACFD2}"/>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694" name="Text Box 70">
          <a:extLst>
            <a:ext uri="{FF2B5EF4-FFF2-40B4-BE49-F238E27FC236}">
              <a16:creationId xmlns="" xmlns:a16="http://schemas.microsoft.com/office/drawing/2014/main" id="{2177D0D2-8BE6-4161-8B79-4136E24FD01B}"/>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695" name="Text Box 71">
          <a:extLst>
            <a:ext uri="{FF2B5EF4-FFF2-40B4-BE49-F238E27FC236}">
              <a16:creationId xmlns="" xmlns:a16="http://schemas.microsoft.com/office/drawing/2014/main" id="{9C9899AC-AFD8-4B41-A826-1A11F37B5696}"/>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696" name="Text Box 72">
          <a:extLst>
            <a:ext uri="{FF2B5EF4-FFF2-40B4-BE49-F238E27FC236}">
              <a16:creationId xmlns="" xmlns:a16="http://schemas.microsoft.com/office/drawing/2014/main" id="{1C7B5A6D-0E60-4626-B6E0-FCF5314F2494}"/>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97" name="Text Box 73">
          <a:extLst>
            <a:ext uri="{FF2B5EF4-FFF2-40B4-BE49-F238E27FC236}">
              <a16:creationId xmlns="" xmlns:a16="http://schemas.microsoft.com/office/drawing/2014/main" id="{3F2DECAF-9BC0-4953-9893-9EB4CC5C7CB3}"/>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98" name="Text Box 74">
          <a:extLst>
            <a:ext uri="{FF2B5EF4-FFF2-40B4-BE49-F238E27FC236}">
              <a16:creationId xmlns="" xmlns:a16="http://schemas.microsoft.com/office/drawing/2014/main" id="{80E694C1-472F-4EEC-BA92-ECD0FDEBF816}"/>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699" name="Text Box 75">
          <a:extLst>
            <a:ext uri="{FF2B5EF4-FFF2-40B4-BE49-F238E27FC236}">
              <a16:creationId xmlns="" xmlns:a16="http://schemas.microsoft.com/office/drawing/2014/main" id="{A2AEC761-5E18-4C4B-BE6D-3783113E7408}"/>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00" name="Text Box 76">
          <a:extLst>
            <a:ext uri="{FF2B5EF4-FFF2-40B4-BE49-F238E27FC236}">
              <a16:creationId xmlns="" xmlns:a16="http://schemas.microsoft.com/office/drawing/2014/main" id="{83C7331F-5C54-4F71-8692-764C15AECB6B}"/>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01" name="Text Box 77">
          <a:extLst>
            <a:ext uri="{FF2B5EF4-FFF2-40B4-BE49-F238E27FC236}">
              <a16:creationId xmlns="" xmlns:a16="http://schemas.microsoft.com/office/drawing/2014/main" id="{980D955F-7443-4E04-8E5E-A11B092D5C96}"/>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02" name="Text Box 78">
          <a:extLst>
            <a:ext uri="{FF2B5EF4-FFF2-40B4-BE49-F238E27FC236}">
              <a16:creationId xmlns="" xmlns:a16="http://schemas.microsoft.com/office/drawing/2014/main" id="{DD1E8728-AD31-4733-9221-0F8D9E7EDD38}"/>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03" name="Text Box 79">
          <a:extLst>
            <a:ext uri="{FF2B5EF4-FFF2-40B4-BE49-F238E27FC236}">
              <a16:creationId xmlns="" xmlns:a16="http://schemas.microsoft.com/office/drawing/2014/main" id="{F29F1088-CC20-4844-BA85-25AF84F8FE21}"/>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04" name="Text Box 80">
          <a:extLst>
            <a:ext uri="{FF2B5EF4-FFF2-40B4-BE49-F238E27FC236}">
              <a16:creationId xmlns="" xmlns:a16="http://schemas.microsoft.com/office/drawing/2014/main" id="{16A51B2B-A852-40AC-B2F2-7C5396466D47}"/>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05" name="Text Box 81">
          <a:extLst>
            <a:ext uri="{FF2B5EF4-FFF2-40B4-BE49-F238E27FC236}">
              <a16:creationId xmlns="" xmlns:a16="http://schemas.microsoft.com/office/drawing/2014/main" id="{4E2989EB-9832-4D45-A6C1-63D6F930D533}"/>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06" name="Text Box 82">
          <a:extLst>
            <a:ext uri="{FF2B5EF4-FFF2-40B4-BE49-F238E27FC236}">
              <a16:creationId xmlns="" xmlns:a16="http://schemas.microsoft.com/office/drawing/2014/main" id="{0D1066C9-7DF2-4E2B-B248-50F176470FC9}"/>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07" name="Text Box 83">
          <a:extLst>
            <a:ext uri="{FF2B5EF4-FFF2-40B4-BE49-F238E27FC236}">
              <a16:creationId xmlns="" xmlns:a16="http://schemas.microsoft.com/office/drawing/2014/main" id="{931331B0-A02E-4A9E-9D32-562433FE225E}"/>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08" name="Text Box 84">
          <a:extLst>
            <a:ext uri="{FF2B5EF4-FFF2-40B4-BE49-F238E27FC236}">
              <a16:creationId xmlns="" xmlns:a16="http://schemas.microsoft.com/office/drawing/2014/main" id="{94A0E097-3F8F-4F6B-A31A-945FAA549D87}"/>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09" name="Text Box 85">
          <a:extLst>
            <a:ext uri="{FF2B5EF4-FFF2-40B4-BE49-F238E27FC236}">
              <a16:creationId xmlns="" xmlns:a16="http://schemas.microsoft.com/office/drawing/2014/main" id="{2D9B37D1-E572-4B7C-B892-C1046BAB0BFC}"/>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10" name="Text Box 86">
          <a:extLst>
            <a:ext uri="{FF2B5EF4-FFF2-40B4-BE49-F238E27FC236}">
              <a16:creationId xmlns="" xmlns:a16="http://schemas.microsoft.com/office/drawing/2014/main" id="{3B3EE5BA-2317-4404-AE7A-A6DDD02283F7}"/>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11" name="Text Box 87">
          <a:extLst>
            <a:ext uri="{FF2B5EF4-FFF2-40B4-BE49-F238E27FC236}">
              <a16:creationId xmlns="" xmlns:a16="http://schemas.microsoft.com/office/drawing/2014/main" id="{890E5B51-346D-46FB-A269-3CD4832FBCA7}"/>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12" name="Text Box 88">
          <a:extLst>
            <a:ext uri="{FF2B5EF4-FFF2-40B4-BE49-F238E27FC236}">
              <a16:creationId xmlns="" xmlns:a16="http://schemas.microsoft.com/office/drawing/2014/main" id="{F3D7612F-CE8D-4CAF-823D-02D40EDEAD0C}"/>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13" name="Text Box 89">
          <a:extLst>
            <a:ext uri="{FF2B5EF4-FFF2-40B4-BE49-F238E27FC236}">
              <a16:creationId xmlns="" xmlns:a16="http://schemas.microsoft.com/office/drawing/2014/main" id="{56BC7F3C-8644-42DA-A8FB-55CC6D9C13C6}"/>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14" name="Text Box 90">
          <a:extLst>
            <a:ext uri="{FF2B5EF4-FFF2-40B4-BE49-F238E27FC236}">
              <a16:creationId xmlns="" xmlns:a16="http://schemas.microsoft.com/office/drawing/2014/main" id="{99AB160E-14EB-4C2A-AD58-AE7780AB3765}"/>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715" name="Text Box 91">
          <a:extLst>
            <a:ext uri="{FF2B5EF4-FFF2-40B4-BE49-F238E27FC236}">
              <a16:creationId xmlns="" xmlns:a16="http://schemas.microsoft.com/office/drawing/2014/main" id="{1904FC0A-9EBD-42AC-9327-31F9C6F18CB3}"/>
            </a:ext>
          </a:extLst>
        </xdr:cNvPr>
        <xdr:cNvSpPr txBox="1">
          <a:spLocks noChangeArrowheads="1"/>
        </xdr:cNvSpPr>
      </xdr:nvSpPr>
      <xdr:spPr bwMode="auto">
        <a:xfrm>
          <a:off x="1797367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716" name="Text Box 92">
          <a:extLst>
            <a:ext uri="{FF2B5EF4-FFF2-40B4-BE49-F238E27FC236}">
              <a16:creationId xmlns="" xmlns:a16="http://schemas.microsoft.com/office/drawing/2014/main" id="{850CABA7-FA75-46B5-9F1C-28FDD23D0866}"/>
            </a:ext>
          </a:extLst>
        </xdr:cNvPr>
        <xdr:cNvSpPr txBox="1">
          <a:spLocks noChangeArrowheads="1"/>
        </xdr:cNvSpPr>
      </xdr:nvSpPr>
      <xdr:spPr bwMode="auto">
        <a:xfrm>
          <a:off x="1797367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17" name="Text Box 93">
          <a:extLst>
            <a:ext uri="{FF2B5EF4-FFF2-40B4-BE49-F238E27FC236}">
              <a16:creationId xmlns="" xmlns:a16="http://schemas.microsoft.com/office/drawing/2014/main" id="{E24E98C1-2C88-4069-BFF6-6CC62682267D}"/>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718" name="Text Box 94">
          <a:extLst>
            <a:ext uri="{FF2B5EF4-FFF2-40B4-BE49-F238E27FC236}">
              <a16:creationId xmlns="" xmlns:a16="http://schemas.microsoft.com/office/drawing/2014/main" id="{1A586B2A-E369-452D-8E4E-353489CBFCCE}"/>
            </a:ext>
          </a:extLst>
        </xdr:cNvPr>
        <xdr:cNvSpPr txBox="1">
          <a:spLocks noChangeArrowheads="1"/>
        </xdr:cNvSpPr>
      </xdr:nvSpPr>
      <xdr:spPr bwMode="auto">
        <a:xfrm>
          <a:off x="179736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19" name="Text Box 95">
          <a:extLst>
            <a:ext uri="{FF2B5EF4-FFF2-40B4-BE49-F238E27FC236}">
              <a16:creationId xmlns="" xmlns:a16="http://schemas.microsoft.com/office/drawing/2014/main" id="{28A8A860-CF53-485D-B3D2-648834516FFB}"/>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20" name="Text Box 96">
          <a:extLst>
            <a:ext uri="{FF2B5EF4-FFF2-40B4-BE49-F238E27FC236}">
              <a16:creationId xmlns="" xmlns:a16="http://schemas.microsoft.com/office/drawing/2014/main" id="{8F00F05D-7BD7-4952-84F4-2803ED408D3E}"/>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42207"/>
    <xdr:sp macro="" textlink="">
      <xdr:nvSpPr>
        <xdr:cNvPr id="721" name="Text Box 97">
          <a:extLst>
            <a:ext uri="{FF2B5EF4-FFF2-40B4-BE49-F238E27FC236}">
              <a16:creationId xmlns="" xmlns:a16="http://schemas.microsoft.com/office/drawing/2014/main" id="{7BE2D20F-9D71-4650-8D68-9798BAE458BC}"/>
            </a:ext>
          </a:extLst>
        </xdr:cNvPr>
        <xdr:cNvSpPr txBox="1">
          <a:spLocks noChangeArrowheads="1"/>
        </xdr:cNvSpPr>
      </xdr:nvSpPr>
      <xdr:spPr bwMode="auto">
        <a:xfrm>
          <a:off x="16916400"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42207"/>
    <xdr:sp macro="" textlink="">
      <xdr:nvSpPr>
        <xdr:cNvPr id="722" name="Text Box 98">
          <a:extLst>
            <a:ext uri="{FF2B5EF4-FFF2-40B4-BE49-F238E27FC236}">
              <a16:creationId xmlns="" xmlns:a16="http://schemas.microsoft.com/office/drawing/2014/main" id="{F06F3579-5D64-4991-9A68-40507918B8C6}"/>
            </a:ext>
          </a:extLst>
        </xdr:cNvPr>
        <xdr:cNvSpPr txBox="1">
          <a:spLocks noChangeArrowheads="1"/>
        </xdr:cNvSpPr>
      </xdr:nvSpPr>
      <xdr:spPr bwMode="auto">
        <a:xfrm>
          <a:off x="16916400"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23" name="Text Box 99">
          <a:extLst>
            <a:ext uri="{FF2B5EF4-FFF2-40B4-BE49-F238E27FC236}">
              <a16:creationId xmlns="" xmlns:a16="http://schemas.microsoft.com/office/drawing/2014/main" id="{0DAE8C9B-4D17-42AF-940A-4DBC3CDED7A6}"/>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24" name="Text Box 100">
          <a:extLst>
            <a:ext uri="{FF2B5EF4-FFF2-40B4-BE49-F238E27FC236}">
              <a16:creationId xmlns="" xmlns:a16="http://schemas.microsoft.com/office/drawing/2014/main" id="{5A1223DB-1125-471C-AD91-7FE2C8434C78}"/>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25" name="Text Box 101">
          <a:extLst>
            <a:ext uri="{FF2B5EF4-FFF2-40B4-BE49-F238E27FC236}">
              <a16:creationId xmlns="" xmlns:a16="http://schemas.microsoft.com/office/drawing/2014/main" id="{AFC20F87-37C5-4F61-B9D9-007A242F992B}"/>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26" name="Text Box 102">
          <a:extLst>
            <a:ext uri="{FF2B5EF4-FFF2-40B4-BE49-F238E27FC236}">
              <a16:creationId xmlns="" xmlns:a16="http://schemas.microsoft.com/office/drawing/2014/main" id="{5F792B4D-0780-42C3-963C-EBC2862B85CD}"/>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27" name="Text Box 103">
          <a:extLst>
            <a:ext uri="{FF2B5EF4-FFF2-40B4-BE49-F238E27FC236}">
              <a16:creationId xmlns="" xmlns:a16="http://schemas.microsoft.com/office/drawing/2014/main" id="{3CDD895B-DD53-4F87-AA5C-24EDBF1ECAB3}"/>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28" name="Text Box 104">
          <a:extLst>
            <a:ext uri="{FF2B5EF4-FFF2-40B4-BE49-F238E27FC236}">
              <a16:creationId xmlns="" xmlns:a16="http://schemas.microsoft.com/office/drawing/2014/main" id="{2D19AEA4-79D7-4981-9BA3-07BD66B154A6}"/>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29" name="Text Box 105">
          <a:extLst>
            <a:ext uri="{FF2B5EF4-FFF2-40B4-BE49-F238E27FC236}">
              <a16:creationId xmlns="" xmlns:a16="http://schemas.microsoft.com/office/drawing/2014/main" id="{7E1A51C1-1EBF-4558-8953-78A212C552D8}"/>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30" name="Text Box 106">
          <a:extLst>
            <a:ext uri="{FF2B5EF4-FFF2-40B4-BE49-F238E27FC236}">
              <a16:creationId xmlns="" xmlns:a16="http://schemas.microsoft.com/office/drawing/2014/main" id="{F54CB567-C390-4CAF-A21C-94D1BBD999D9}"/>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31" name="Text Box 107">
          <a:extLst>
            <a:ext uri="{FF2B5EF4-FFF2-40B4-BE49-F238E27FC236}">
              <a16:creationId xmlns="" xmlns:a16="http://schemas.microsoft.com/office/drawing/2014/main" id="{AF59B551-0FA1-4F74-90D9-CC8E92C0EDC4}"/>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32" name="Text Box 108">
          <a:extLst>
            <a:ext uri="{FF2B5EF4-FFF2-40B4-BE49-F238E27FC236}">
              <a16:creationId xmlns="" xmlns:a16="http://schemas.microsoft.com/office/drawing/2014/main" id="{22DAC100-A590-4076-8FF6-DA5DA7FC3971}"/>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33" name="Text Box 109">
          <a:extLst>
            <a:ext uri="{FF2B5EF4-FFF2-40B4-BE49-F238E27FC236}">
              <a16:creationId xmlns="" xmlns:a16="http://schemas.microsoft.com/office/drawing/2014/main" id="{17A6DBD0-D68A-434A-861B-2B9FE27FC43F}"/>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34" name="Text Box 110">
          <a:extLst>
            <a:ext uri="{FF2B5EF4-FFF2-40B4-BE49-F238E27FC236}">
              <a16:creationId xmlns="" xmlns:a16="http://schemas.microsoft.com/office/drawing/2014/main" id="{35EE7B2C-4DB9-46A3-9D91-3F6BAE935FF0}"/>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35" name="Text Box 111">
          <a:extLst>
            <a:ext uri="{FF2B5EF4-FFF2-40B4-BE49-F238E27FC236}">
              <a16:creationId xmlns="" xmlns:a16="http://schemas.microsoft.com/office/drawing/2014/main" id="{19C117C6-62AB-422E-BD6B-49F8610544DB}"/>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36" name="Text Box 112">
          <a:extLst>
            <a:ext uri="{FF2B5EF4-FFF2-40B4-BE49-F238E27FC236}">
              <a16:creationId xmlns="" xmlns:a16="http://schemas.microsoft.com/office/drawing/2014/main" id="{DDF1DE13-B600-4A4F-B3C1-7C79FDFA2271}"/>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737" name="Text Box 113">
          <a:extLst>
            <a:ext uri="{FF2B5EF4-FFF2-40B4-BE49-F238E27FC236}">
              <a16:creationId xmlns="" xmlns:a16="http://schemas.microsoft.com/office/drawing/2014/main" id="{68EBB5D9-3D76-4C30-BB8E-FA07937D1FDE}"/>
            </a:ext>
          </a:extLst>
        </xdr:cNvPr>
        <xdr:cNvSpPr txBox="1">
          <a:spLocks noChangeArrowheads="1"/>
        </xdr:cNvSpPr>
      </xdr:nvSpPr>
      <xdr:spPr bwMode="auto">
        <a:xfrm>
          <a:off x="1691640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738" name="Text Box 114">
          <a:extLst>
            <a:ext uri="{FF2B5EF4-FFF2-40B4-BE49-F238E27FC236}">
              <a16:creationId xmlns="" xmlns:a16="http://schemas.microsoft.com/office/drawing/2014/main" id="{1E5AA2A0-637F-438E-B0D9-22BD099D6B58}"/>
            </a:ext>
          </a:extLst>
        </xdr:cNvPr>
        <xdr:cNvSpPr txBox="1">
          <a:spLocks noChangeArrowheads="1"/>
        </xdr:cNvSpPr>
      </xdr:nvSpPr>
      <xdr:spPr bwMode="auto">
        <a:xfrm>
          <a:off x="1691640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39" name="Text Box 115">
          <a:extLst>
            <a:ext uri="{FF2B5EF4-FFF2-40B4-BE49-F238E27FC236}">
              <a16:creationId xmlns="" xmlns:a16="http://schemas.microsoft.com/office/drawing/2014/main" id="{6FE9D2CF-282B-4D1E-A5A5-FA58EC3E5D5E}"/>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40" name="Text Box 116">
          <a:extLst>
            <a:ext uri="{FF2B5EF4-FFF2-40B4-BE49-F238E27FC236}">
              <a16:creationId xmlns="" xmlns:a16="http://schemas.microsoft.com/office/drawing/2014/main" id="{17E5E1D8-7C20-4310-8EAC-56C8B82D6CDA}"/>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41" name="Text Box 117">
          <a:extLst>
            <a:ext uri="{FF2B5EF4-FFF2-40B4-BE49-F238E27FC236}">
              <a16:creationId xmlns="" xmlns:a16="http://schemas.microsoft.com/office/drawing/2014/main" id="{49362CAB-C9F7-415D-9593-33EB4BF36356}"/>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42" name="Text Box 118">
          <a:extLst>
            <a:ext uri="{FF2B5EF4-FFF2-40B4-BE49-F238E27FC236}">
              <a16:creationId xmlns="" xmlns:a16="http://schemas.microsoft.com/office/drawing/2014/main" id="{C257473A-6F2D-43D0-8516-C82E55508891}"/>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43" name="Text Box 119">
          <a:extLst>
            <a:ext uri="{FF2B5EF4-FFF2-40B4-BE49-F238E27FC236}">
              <a16:creationId xmlns="" xmlns:a16="http://schemas.microsoft.com/office/drawing/2014/main" id="{9E3B8841-82AA-4FED-A645-1BAAB57DC55F}"/>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44" name="Text Box 120">
          <a:extLst>
            <a:ext uri="{FF2B5EF4-FFF2-40B4-BE49-F238E27FC236}">
              <a16:creationId xmlns="" xmlns:a16="http://schemas.microsoft.com/office/drawing/2014/main" id="{4F8AB6B6-1570-4E32-986A-5391319C708B}"/>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45" name="Text Box 121">
          <a:extLst>
            <a:ext uri="{FF2B5EF4-FFF2-40B4-BE49-F238E27FC236}">
              <a16:creationId xmlns="" xmlns:a16="http://schemas.microsoft.com/office/drawing/2014/main" id="{41C1EE96-8F1D-4E77-A68C-F63170BC4E0F}"/>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46" name="Text Box 122">
          <a:extLst>
            <a:ext uri="{FF2B5EF4-FFF2-40B4-BE49-F238E27FC236}">
              <a16:creationId xmlns="" xmlns:a16="http://schemas.microsoft.com/office/drawing/2014/main" id="{3BD33058-7419-4C51-9739-4427A8A3A1F5}"/>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47" name="Text Box 123">
          <a:extLst>
            <a:ext uri="{FF2B5EF4-FFF2-40B4-BE49-F238E27FC236}">
              <a16:creationId xmlns="" xmlns:a16="http://schemas.microsoft.com/office/drawing/2014/main" id="{516C8E5C-F72B-44C0-A8EB-9791B82B38D2}"/>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48" name="Text Box 124">
          <a:extLst>
            <a:ext uri="{FF2B5EF4-FFF2-40B4-BE49-F238E27FC236}">
              <a16:creationId xmlns="" xmlns:a16="http://schemas.microsoft.com/office/drawing/2014/main" id="{E3709748-A14A-48DD-B63F-F232B95562DB}"/>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49" name="Text Box 125">
          <a:extLst>
            <a:ext uri="{FF2B5EF4-FFF2-40B4-BE49-F238E27FC236}">
              <a16:creationId xmlns="" xmlns:a16="http://schemas.microsoft.com/office/drawing/2014/main" id="{4540FC8B-EAE2-4F0A-BD87-B20EF6851817}"/>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50" name="Text Box 126">
          <a:extLst>
            <a:ext uri="{FF2B5EF4-FFF2-40B4-BE49-F238E27FC236}">
              <a16:creationId xmlns="" xmlns:a16="http://schemas.microsoft.com/office/drawing/2014/main" id="{478ADF15-6501-40C6-A500-AE3EA033E7F1}"/>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51" name="Text Box 127">
          <a:extLst>
            <a:ext uri="{FF2B5EF4-FFF2-40B4-BE49-F238E27FC236}">
              <a16:creationId xmlns="" xmlns:a16="http://schemas.microsoft.com/office/drawing/2014/main" id="{03B584B1-C572-4A80-ABCC-375DEC8D0288}"/>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52" name="Text Box 128">
          <a:extLst>
            <a:ext uri="{FF2B5EF4-FFF2-40B4-BE49-F238E27FC236}">
              <a16:creationId xmlns="" xmlns:a16="http://schemas.microsoft.com/office/drawing/2014/main" id="{E3EC513E-688E-4868-B0EF-2A6A0C863BE2}"/>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53" name="Text Box 129">
          <a:extLst>
            <a:ext uri="{FF2B5EF4-FFF2-40B4-BE49-F238E27FC236}">
              <a16:creationId xmlns="" xmlns:a16="http://schemas.microsoft.com/office/drawing/2014/main" id="{C5F2A6B5-13BF-4932-AFE6-5E30CFF8445E}"/>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54" name="Text Box 130">
          <a:extLst>
            <a:ext uri="{FF2B5EF4-FFF2-40B4-BE49-F238E27FC236}">
              <a16:creationId xmlns="" xmlns:a16="http://schemas.microsoft.com/office/drawing/2014/main" id="{EF07DDD4-98EC-424F-881C-7F57632A42E5}"/>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55" name="Text Box 131">
          <a:extLst>
            <a:ext uri="{FF2B5EF4-FFF2-40B4-BE49-F238E27FC236}">
              <a16:creationId xmlns="" xmlns:a16="http://schemas.microsoft.com/office/drawing/2014/main" id="{A75E26A0-72BF-43F8-89DC-73DA2024E345}"/>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56" name="Text Box 132">
          <a:extLst>
            <a:ext uri="{FF2B5EF4-FFF2-40B4-BE49-F238E27FC236}">
              <a16:creationId xmlns="" xmlns:a16="http://schemas.microsoft.com/office/drawing/2014/main" id="{20B868D2-4BAD-4FB7-A767-F08F33DD3E9F}"/>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57" name="Text Box 133">
          <a:extLst>
            <a:ext uri="{FF2B5EF4-FFF2-40B4-BE49-F238E27FC236}">
              <a16:creationId xmlns="" xmlns:a16="http://schemas.microsoft.com/office/drawing/2014/main" id="{D043759F-49F1-45BE-A182-AF744C904A53}"/>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58" name="Text Box 134">
          <a:extLst>
            <a:ext uri="{FF2B5EF4-FFF2-40B4-BE49-F238E27FC236}">
              <a16:creationId xmlns="" xmlns:a16="http://schemas.microsoft.com/office/drawing/2014/main" id="{470DA311-9EA7-4DF2-A8BE-F94D8EF336D9}"/>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59" name="Text Box 135">
          <a:extLst>
            <a:ext uri="{FF2B5EF4-FFF2-40B4-BE49-F238E27FC236}">
              <a16:creationId xmlns="" xmlns:a16="http://schemas.microsoft.com/office/drawing/2014/main" id="{C5B7DAEF-18DB-4F37-946C-7978E1843A6E}"/>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60" name="Text Box 136">
          <a:extLst>
            <a:ext uri="{FF2B5EF4-FFF2-40B4-BE49-F238E27FC236}">
              <a16:creationId xmlns="" xmlns:a16="http://schemas.microsoft.com/office/drawing/2014/main" id="{F22BE1A2-9643-4CFA-A849-E661FB7F97D5}"/>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61" name="Text Box 137">
          <a:extLst>
            <a:ext uri="{FF2B5EF4-FFF2-40B4-BE49-F238E27FC236}">
              <a16:creationId xmlns="" xmlns:a16="http://schemas.microsoft.com/office/drawing/2014/main" id="{7C927482-8A2A-420D-8B57-D641A29D6448}"/>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62" name="Text Box 138">
          <a:extLst>
            <a:ext uri="{FF2B5EF4-FFF2-40B4-BE49-F238E27FC236}">
              <a16:creationId xmlns="" xmlns:a16="http://schemas.microsoft.com/office/drawing/2014/main" id="{9F3A2D4C-31E8-469B-A07C-99F6EACCEB85}"/>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63" name="Text Box 139">
          <a:extLst>
            <a:ext uri="{FF2B5EF4-FFF2-40B4-BE49-F238E27FC236}">
              <a16:creationId xmlns="" xmlns:a16="http://schemas.microsoft.com/office/drawing/2014/main" id="{2E211C74-DE5C-44D1-AC26-4A355E3E8F39}"/>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64" name="Text Box 140">
          <a:extLst>
            <a:ext uri="{FF2B5EF4-FFF2-40B4-BE49-F238E27FC236}">
              <a16:creationId xmlns="" xmlns:a16="http://schemas.microsoft.com/office/drawing/2014/main" id="{C04B3858-4D28-4A79-A057-F8D1D939AB46}"/>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65" name="Text Box 141">
          <a:extLst>
            <a:ext uri="{FF2B5EF4-FFF2-40B4-BE49-F238E27FC236}">
              <a16:creationId xmlns="" xmlns:a16="http://schemas.microsoft.com/office/drawing/2014/main" id="{5CE185C8-2A5D-49A8-BA92-D5CDEDA14C8F}"/>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766" name="Text Box 142">
          <a:extLst>
            <a:ext uri="{FF2B5EF4-FFF2-40B4-BE49-F238E27FC236}">
              <a16:creationId xmlns="" xmlns:a16="http://schemas.microsoft.com/office/drawing/2014/main" id="{B2CCFD05-C12E-46FF-AA06-73F4AB590962}"/>
            </a:ext>
          </a:extLst>
        </xdr:cNvPr>
        <xdr:cNvSpPr txBox="1">
          <a:spLocks noChangeArrowheads="1"/>
        </xdr:cNvSpPr>
      </xdr:nvSpPr>
      <xdr:spPr bwMode="auto">
        <a:xfrm>
          <a:off x="1691640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767" name="Text Box 143">
          <a:extLst>
            <a:ext uri="{FF2B5EF4-FFF2-40B4-BE49-F238E27FC236}">
              <a16:creationId xmlns="" xmlns:a16="http://schemas.microsoft.com/office/drawing/2014/main" id="{0C194811-76C9-407A-A200-FA6352662FB8}"/>
            </a:ext>
          </a:extLst>
        </xdr:cNvPr>
        <xdr:cNvSpPr txBox="1">
          <a:spLocks noChangeArrowheads="1"/>
        </xdr:cNvSpPr>
      </xdr:nvSpPr>
      <xdr:spPr bwMode="auto">
        <a:xfrm>
          <a:off x="16916400"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768" name="Text Box 144">
          <a:extLst>
            <a:ext uri="{FF2B5EF4-FFF2-40B4-BE49-F238E27FC236}">
              <a16:creationId xmlns="" xmlns:a16="http://schemas.microsoft.com/office/drawing/2014/main" id="{0D4ABB14-2AF1-45EF-9F15-AA5C8B0C5244}"/>
            </a:ext>
          </a:extLst>
        </xdr:cNvPr>
        <xdr:cNvSpPr txBox="1">
          <a:spLocks noChangeArrowheads="1"/>
        </xdr:cNvSpPr>
      </xdr:nvSpPr>
      <xdr:spPr bwMode="auto">
        <a:xfrm>
          <a:off x="16916400"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327932"/>
    <xdr:sp macro="" textlink="">
      <xdr:nvSpPr>
        <xdr:cNvPr id="769" name="Text Box 145">
          <a:extLst>
            <a:ext uri="{FF2B5EF4-FFF2-40B4-BE49-F238E27FC236}">
              <a16:creationId xmlns="" xmlns:a16="http://schemas.microsoft.com/office/drawing/2014/main" id="{9B506C01-863D-4D97-B819-AE45945CDE21}"/>
            </a:ext>
          </a:extLst>
        </xdr:cNvPr>
        <xdr:cNvSpPr txBox="1">
          <a:spLocks noChangeArrowheads="1"/>
        </xdr:cNvSpPr>
      </xdr:nvSpPr>
      <xdr:spPr bwMode="auto">
        <a:xfrm>
          <a:off x="16916400"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327932"/>
    <xdr:sp macro="" textlink="">
      <xdr:nvSpPr>
        <xdr:cNvPr id="770" name="Text Box 146">
          <a:extLst>
            <a:ext uri="{FF2B5EF4-FFF2-40B4-BE49-F238E27FC236}">
              <a16:creationId xmlns="" xmlns:a16="http://schemas.microsoft.com/office/drawing/2014/main" id="{5368C72E-771C-41A9-90D8-9112DC23CA5F}"/>
            </a:ext>
          </a:extLst>
        </xdr:cNvPr>
        <xdr:cNvSpPr txBox="1">
          <a:spLocks noChangeArrowheads="1"/>
        </xdr:cNvSpPr>
      </xdr:nvSpPr>
      <xdr:spPr bwMode="auto">
        <a:xfrm>
          <a:off x="16916400"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771" name="Text Box 147">
          <a:extLst>
            <a:ext uri="{FF2B5EF4-FFF2-40B4-BE49-F238E27FC236}">
              <a16:creationId xmlns="" xmlns:a16="http://schemas.microsoft.com/office/drawing/2014/main" id="{23BD1803-EEE3-41C3-931C-6F3E39D7316A}"/>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772" name="Text Box 148">
          <a:extLst>
            <a:ext uri="{FF2B5EF4-FFF2-40B4-BE49-F238E27FC236}">
              <a16:creationId xmlns="" xmlns:a16="http://schemas.microsoft.com/office/drawing/2014/main" id="{16B28B97-120F-4B34-B86C-C64975064C27}"/>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773" name="Text Box 149">
          <a:extLst>
            <a:ext uri="{FF2B5EF4-FFF2-40B4-BE49-F238E27FC236}">
              <a16:creationId xmlns="" xmlns:a16="http://schemas.microsoft.com/office/drawing/2014/main" id="{25CFFA42-490B-41C6-851D-07DFEE4B4EDF}"/>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774" name="Text Box 150">
          <a:extLst>
            <a:ext uri="{FF2B5EF4-FFF2-40B4-BE49-F238E27FC236}">
              <a16:creationId xmlns="" xmlns:a16="http://schemas.microsoft.com/office/drawing/2014/main" id="{F96305F9-B1A2-40EB-8B4A-3608178BD9E3}"/>
            </a:ext>
          </a:extLst>
        </xdr:cNvPr>
        <xdr:cNvSpPr txBox="1">
          <a:spLocks noChangeArrowheads="1"/>
        </xdr:cNvSpPr>
      </xdr:nvSpPr>
      <xdr:spPr bwMode="auto">
        <a:xfrm>
          <a:off x="16916400"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75" name="Text Box 151">
          <a:extLst>
            <a:ext uri="{FF2B5EF4-FFF2-40B4-BE49-F238E27FC236}">
              <a16:creationId xmlns="" xmlns:a16="http://schemas.microsoft.com/office/drawing/2014/main" id="{25715823-C104-46C8-9E41-942928B6362B}"/>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76" name="Text Box 152">
          <a:extLst>
            <a:ext uri="{FF2B5EF4-FFF2-40B4-BE49-F238E27FC236}">
              <a16:creationId xmlns="" xmlns:a16="http://schemas.microsoft.com/office/drawing/2014/main" id="{4D4DF4EA-8891-4A3D-B7F3-E20A66E964EC}"/>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77" name="Text Box 153">
          <a:extLst>
            <a:ext uri="{FF2B5EF4-FFF2-40B4-BE49-F238E27FC236}">
              <a16:creationId xmlns="" xmlns:a16="http://schemas.microsoft.com/office/drawing/2014/main" id="{696DCB5B-6FE1-4F3D-92E9-ACDE24392573}"/>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78" name="Text Box 154">
          <a:extLst>
            <a:ext uri="{FF2B5EF4-FFF2-40B4-BE49-F238E27FC236}">
              <a16:creationId xmlns="" xmlns:a16="http://schemas.microsoft.com/office/drawing/2014/main" id="{ADD69F4E-910E-49F5-B101-91819E8DC5E2}"/>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79" name="Text Box 155">
          <a:extLst>
            <a:ext uri="{FF2B5EF4-FFF2-40B4-BE49-F238E27FC236}">
              <a16:creationId xmlns="" xmlns:a16="http://schemas.microsoft.com/office/drawing/2014/main" id="{F2E6A8CD-797F-42F1-8C48-7F2BDAC45D37}"/>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80" name="Text Box 156">
          <a:extLst>
            <a:ext uri="{FF2B5EF4-FFF2-40B4-BE49-F238E27FC236}">
              <a16:creationId xmlns="" xmlns:a16="http://schemas.microsoft.com/office/drawing/2014/main" id="{C018195E-917F-462D-A236-402A463159B2}"/>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81" name="Text Box 157">
          <a:extLst>
            <a:ext uri="{FF2B5EF4-FFF2-40B4-BE49-F238E27FC236}">
              <a16:creationId xmlns="" xmlns:a16="http://schemas.microsoft.com/office/drawing/2014/main" id="{0CE5FEFE-F6DE-4A31-9854-BCF4EA52153E}"/>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782" name="Text Box 158">
          <a:extLst>
            <a:ext uri="{FF2B5EF4-FFF2-40B4-BE49-F238E27FC236}">
              <a16:creationId xmlns="" xmlns:a16="http://schemas.microsoft.com/office/drawing/2014/main" id="{3FC170CB-7F0D-4614-BA39-F6313A3915C9}"/>
            </a:ext>
          </a:extLst>
        </xdr:cNvPr>
        <xdr:cNvSpPr txBox="1">
          <a:spLocks noChangeArrowheads="1"/>
        </xdr:cNvSpPr>
      </xdr:nvSpPr>
      <xdr:spPr bwMode="auto">
        <a:xfrm>
          <a:off x="16916400"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83" name="Text Box 214">
          <a:extLst>
            <a:ext uri="{FF2B5EF4-FFF2-40B4-BE49-F238E27FC236}">
              <a16:creationId xmlns="" xmlns:a16="http://schemas.microsoft.com/office/drawing/2014/main" id="{57AFDB01-A9F0-4EF9-8DEF-2F0A897170BE}"/>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784" name="Text Box 215">
          <a:extLst>
            <a:ext uri="{FF2B5EF4-FFF2-40B4-BE49-F238E27FC236}">
              <a16:creationId xmlns="" xmlns:a16="http://schemas.microsoft.com/office/drawing/2014/main" id="{355B7413-316E-4578-ADE7-80689D919CCF}"/>
            </a:ext>
          </a:extLst>
        </xdr:cNvPr>
        <xdr:cNvSpPr txBox="1">
          <a:spLocks noChangeArrowheads="1"/>
        </xdr:cNvSpPr>
      </xdr:nvSpPr>
      <xdr:spPr bwMode="auto">
        <a:xfrm>
          <a:off x="16916400"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785" name="Text Box 277023">
          <a:extLst>
            <a:ext uri="{FF2B5EF4-FFF2-40B4-BE49-F238E27FC236}">
              <a16:creationId xmlns="" xmlns:a16="http://schemas.microsoft.com/office/drawing/2014/main" id="{23C3DEE2-4D2D-4B15-97E8-D02198CBDB24}"/>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786" name="Text Box 277024">
          <a:extLst>
            <a:ext uri="{FF2B5EF4-FFF2-40B4-BE49-F238E27FC236}">
              <a16:creationId xmlns="" xmlns:a16="http://schemas.microsoft.com/office/drawing/2014/main" id="{CDC3F75B-24A7-41BC-8E58-85401EBB429B}"/>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787" name="Text Box 277025">
          <a:extLst>
            <a:ext uri="{FF2B5EF4-FFF2-40B4-BE49-F238E27FC236}">
              <a16:creationId xmlns="" xmlns:a16="http://schemas.microsoft.com/office/drawing/2014/main" id="{40B44E02-3B26-477C-BFBF-0E60327662F8}"/>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788" name="Text Box 277026">
          <a:extLst>
            <a:ext uri="{FF2B5EF4-FFF2-40B4-BE49-F238E27FC236}">
              <a16:creationId xmlns="" xmlns:a16="http://schemas.microsoft.com/office/drawing/2014/main" id="{00EC0742-818F-4CAB-BD4F-67871E5D7184}"/>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89" name="Text Box 198">
          <a:extLst>
            <a:ext uri="{FF2B5EF4-FFF2-40B4-BE49-F238E27FC236}">
              <a16:creationId xmlns="" xmlns:a16="http://schemas.microsoft.com/office/drawing/2014/main" id="{574E6A1F-371B-4B89-B23F-FB6A34B4B79F}"/>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90" name="Text Box 199">
          <a:extLst>
            <a:ext uri="{FF2B5EF4-FFF2-40B4-BE49-F238E27FC236}">
              <a16:creationId xmlns="" xmlns:a16="http://schemas.microsoft.com/office/drawing/2014/main" id="{5752359D-D021-4038-A095-1179415BFAF2}"/>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91" name="Text Box 208">
          <a:extLst>
            <a:ext uri="{FF2B5EF4-FFF2-40B4-BE49-F238E27FC236}">
              <a16:creationId xmlns="" xmlns:a16="http://schemas.microsoft.com/office/drawing/2014/main" id="{8E5F095B-B3F8-4015-8F48-742090E3745C}"/>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92" name="Text Box 209">
          <a:extLst>
            <a:ext uri="{FF2B5EF4-FFF2-40B4-BE49-F238E27FC236}">
              <a16:creationId xmlns="" xmlns:a16="http://schemas.microsoft.com/office/drawing/2014/main" id="{C2DE1FB6-10DA-493C-8373-97C73373F6D8}"/>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93" name="Text Box 210">
          <a:extLst>
            <a:ext uri="{FF2B5EF4-FFF2-40B4-BE49-F238E27FC236}">
              <a16:creationId xmlns="" xmlns:a16="http://schemas.microsoft.com/office/drawing/2014/main" id="{87C9451F-7FAF-4742-8965-82D980C90C6C}"/>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94" name="Text Box 211">
          <a:extLst>
            <a:ext uri="{FF2B5EF4-FFF2-40B4-BE49-F238E27FC236}">
              <a16:creationId xmlns="" xmlns:a16="http://schemas.microsoft.com/office/drawing/2014/main" id="{2F674CDB-095A-4DEB-81E2-855B77EFD614}"/>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95" name="Text Box 43">
          <a:extLst>
            <a:ext uri="{FF2B5EF4-FFF2-40B4-BE49-F238E27FC236}">
              <a16:creationId xmlns="" xmlns:a16="http://schemas.microsoft.com/office/drawing/2014/main" id="{C8F581D4-B5D3-44BD-A73F-42C0F7A00729}"/>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96" name="Text Box 45">
          <a:extLst>
            <a:ext uri="{FF2B5EF4-FFF2-40B4-BE49-F238E27FC236}">
              <a16:creationId xmlns="" xmlns:a16="http://schemas.microsoft.com/office/drawing/2014/main" id="{38A95247-CB76-4E23-845B-902122207AA0}"/>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97" name="Text Box 47">
          <a:extLst>
            <a:ext uri="{FF2B5EF4-FFF2-40B4-BE49-F238E27FC236}">
              <a16:creationId xmlns="" xmlns:a16="http://schemas.microsoft.com/office/drawing/2014/main" id="{93D533A2-C345-486A-883C-A40AD07476BE}"/>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798" name="Text Box 48">
          <a:extLst>
            <a:ext uri="{FF2B5EF4-FFF2-40B4-BE49-F238E27FC236}">
              <a16:creationId xmlns="" xmlns:a16="http://schemas.microsoft.com/office/drawing/2014/main" id="{AE7E8F4D-9304-4EA9-B1BF-847948521DD0}"/>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96911"/>
    <xdr:sp macro="" textlink="">
      <xdr:nvSpPr>
        <xdr:cNvPr id="799" name="Text Box 394">
          <a:extLst>
            <a:ext uri="{FF2B5EF4-FFF2-40B4-BE49-F238E27FC236}">
              <a16:creationId xmlns="" xmlns:a16="http://schemas.microsoft.com/office/drawing/2014/main" id="{CACED844-D85E-46BC-873F-EFE47C9C941B}"/>
            </a:ext>
          </a:extLst>
        </xdr:cNvPr>
        <xdr:cNvSpPr txBox="1">
          <a:spLocks noChangeArrowheads="1"/>
        </xdr:cNvSpPr>
      </xdr:nvSpPr>
      <xdr:spPr bwMode="auto">
        <a:xfrm>
          <a:off x="17973675" y="73380600"/>
          <a:ext cx="76200" cy="2496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96911"/>
    <xdr:sp macro="" textlink="">
      <xdr:nvSpPr>
        <xdr:cNvPr id="800" name="Text Box 395">
          <a:extLst>
            <a:ext uri="{FF2B5EF4-FFF2-40B4-BE49-F238E27FC236}">
              <a16:creationId xmlns="" xmlns:a16="http://schemas.microsoft.com/office/drawing/2014/main" id="{69ED66EC-C85B-4DC5-9AE3-2B53502852B5}"/>
            </a:ext>
          </a:extLst>
        </xdr:cNvPr>
        <xdr:cNvSpPr txBox="1">
          <a:spLocks noChangeArrowheads="1"/>
        </xdr:cNvSpPr>
      </xdr:nvSpPr>
      <xdr:spPr bwMode="auto">
        <a:xfrm>
          <a:off x="17973675" y="73380600"/>
          <a:ext cx="76200" cy="2496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96911"/>
    <xdr:sp macro="" textlink="">
      <xdr:nvSpPr>
        <xdr:cNvPr id="801" name="Text Box 396">
          <a:extLst>
            <a:ext uri="{FF2B5EF4-FFF2-40B4-BE49-F238E27FC236}">
              <a16:creationId xmlns="" xmlns:a16="http://schemas.microsoft.com/office/drawing/2014/main" id="{4F9F45E4-B989-4507-B68B-A74B441F2909}"/>
            </a:ext>
          </a:extLst>
        </xdr:cNvPr>
        <xdr:cNvSpPr txBox="1">
          <a:spLocks noChangeArrowheads="1"/>
        </xdr:cNvSpPr>
      </xdr:nvSpPr>
      <xdr:spPr bwMode="auto">
        <a:xfrm>
          <a:off x="17973675" y="73380600"/>
          <a:ext cx="76200" cy="2496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96911"/>
    <xdr:sp macro="" textlink="">
      <xdr:nvSpPr>
        <xdr:cNvPr id="802" name="Text Box 397">
          <a:extLst>
            <a:ext uri="{FF2B5EF4-FFF2-40B4-BE49-F238E27FC236}">
              <a16:creationId xmlns="" xmlns:a16="http://schemas.microsoft.com/office/drawing/2014/main" id="{DCDEC033-D1EF-49EC-93A2-67EC46C4F927}"/>
            </a:ext>
          </a:extLst>
        </xdr:cNvPr>
        <xdr:cNvSpPr txBox="1">
          <a:spLocks noChangeArrowheads="1"/>
        </xdr:cNvSpPr>
      </xdr:nvSpPr>
      <xdr:spPr bwMode="auto">
        <a:xfrm>
          <a:off x="17973675" y="73380600"/>
          <a:ext cx="76200" cy="2496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03" name="Text Box 43">
          <a:extLst>
            <a:ext uri="{FF2B5EF4-FFF2-40B4-BE49-F238E27FC236}">
              <a16:creationId xmlns="" xmlns:a16="http://schemas.microsoft.com/office/drawing/2014/main" id="{6FF84508-AA43-4CD0-B0FD-614C36E0487B}"/>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04" name="Text Box 45">
          <a:extLst>
            <a:ext uri="{FF2B5EF4-FFF2-40B4-BE49-F238E27FC236}">
              <a16:creationId xmlns="" xmlns:a16="http://schemas.microsoft.com/office/drawing/2014/main" id="{E35F8CA0-F383-4D78-ABAA-29533A9C6D4F}"/>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05" name="Text Box 47">
          <a:extLst>
            <a:ext uri="{FF2B5EF4-FFF2-40B4-BE49-F238E27FC236}">
              <a16:creationId xmlns="" xmlns:a16="http://schemas.microsoft.com/office/drawing/2014/main" id="{1ADFBEA2-A1A9-4668-8510-9A8AF8BD6CBF}"/>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06" name="Text Box 48">
          <a:extLst>
            <a:ext uri="{FF2B5EF4-FFF2-40B4-BE49-F238E27FC236}">
              <a16:creationId xmlns="" xmlns:a16="http://schemas.microsoft.com/office/drawing/2014/main" id="{76435E2A-284B-430C-92EA-0EF9FD4D4CD8}"/>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351440"/>
    <xdr:sp macro="" textlink="">
      <xdr:nvSpPr>
        <xdr:cNvPr id="807" name="Text Box 607">
          <a:extLst>
            <a:ext uri="{FF2B5EF4-FFF2-40B4-BE49-F238E27FC236}">
              <a16:creationId xmlns="" xmlns:a16="http://schemas.microsoft.com/office/drawing/2014/main" id="{E8BE59F7-7F1B-4F76-86B1-3C9732319052}"/>
            </a:ext>
          </a:extLst>
        </xdr:cNvPr>
        <xdr:cNvSpPr txBox="1">
          <a:spLocks noChangeArrowheads="1"/>
        </xdr:cNvSpPr>
      </xdr:nvSpPr>
      <xdr:spPr bwMode="auto">
        <a:xfrm>
          <a:off x="17973675" y="73380600"/>
          <a:ext cx="76200" cy="335144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351440"/>
    <xdr:sp macro="" textlink="">
      <xdr:nvSpPr>
        <xdr:cNvPr id="808" name="Text Box 608">
          <a:extLst>
            <a:ext uri="{FF2B5EF4-FFF2-40B4-BE49-F238E27FC236}">
              <a16:creationId xmlns="" xmlns:a16="http://schemas.microsoft.com/office/drawing/2014/main" id="{0A7A6AD4-095A-4295-810E-AFB8F8123081}"/>
            </a:ext>
          </a:extLst>
        </xdr:cNvPr>
        <xdr:cNvSpPr txBox="1">
          <a:spLocks noChangeArrowheads="1"/>
        </xdr:cNvSpPr>
      </xdr:nvSpPr>
      <xdr:spPr bwMode="auto">
        <a:xfrm>
          <a:off x="17973675" y="73380600"/>
          <a:ext cx="76200" cy="335144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15961"/>
    <xdr:sp macro="" textlink="">
      <xdr:nvSpPr>
        <xdr:cNvPr id="809" name="Text Box 617">
          <a:extLst>
            <a:ext uri="{FF2B5EF4-FFF2-40B4-BE49-F238E27FC236}">
              <a16:creationId xmlns="" xmlns:a16="http://schemas.microsoft.com/office/drawing/2014/main" id="{DE42A1AE-0CC3-4E2C-8F11-24E20230B5AA}"/>
            </a:ext>
          </a:extLst>
        </xdr:cNvPr>
        <xdr:cNvSpPr txBox="1">
          <a:spLocks noChangeArrowheads="1"/>
        </xdr:cNvSpPr>
      </xdr:nvSpPr>
      <xdr:spPr bwMode="auto">
        <a:xfrm>
          <a:off x="17973675" y="73380600"/>
          <a:ext cx="76200" cy="251596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15961"/>
    <xdr:sp macro="" textlink="">
      <xdr:nvSpPr>
        <xdr:cNvPr id="810" name="Text Box 618">
          <a:extLst>
            <a:ext uri="{FF2B5EF4-FFF2-40B4-BE49-F238E27FC236}">
              <a16:creationId xmlns="" xmlns:a16="http://schemas.microsoft.com/office/drawing/2014/main" id="{751DF767-024F-4A51-B6C4-ADDE919E242C}"/>
            </a:ext>
          </a:extLst>
        </xdr:cNvPr>
        <xdr:cNvSpPr txBox="1">
          <a:spLocks noChangeArrowheads="1"/>
        </xdr:cNvSpPr>
      </xdr:nvSpPr>
      <xdr:spPr bwMode="auto">
        <a:xfrm>
          <a:off x="17973675" y="73380600"/>
          <a:ext cx="76200" cy="251596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15961"/>
    <xdr:sp macro="" textlink="">
      <xdr:nvSpPr>
        <xdr:cNvPr id="811" name="Text Box 619">
          <a:extLst>
            <a:ext uri="{FF2B5EF4-FFF2-40B4-BE49-F238E27FC236}">
              <a16:creationId xmlns="" xmlns:a16="http://schemas.microsoft.com/office/drawing/2014/main" id="{C1C161B4-ACFB-4C22-9CE1-0B67D17EFBE7}"/>
            </a:ext>
          </a:extLst>
        </xdr:cNvPr>
        <xdr:cNvSpPr txBox="1">
          <a:spLocks noChangeArrowheads="1"/>
        </xdr:cNvSpPr>
      </xdr:nvSpPr>
      <xdr:spPr bwMode="auto">
        <a:xfrm>
          <a:off x="17973675" y="73380600"/>
          <a:ext cx="76200" cy="251596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15961"/>
    <xdr:sp macro="" textlink="">
      <xdr:nvSpPr>
        <xdr:cNvPr id="812" name="Text Box 620">
          <a:extLst>
            <a:ext uri="{FF2B5EF4-FFF2-40B4-BE49-F238E27FC236}">
              <a16:creationId xmlns="" xmlns:a16="http://schemas.microsoft.com/office/drawing/2014/main" id="{59996EA9-0366-471A-8859-C98A3CFE25D7}"/>
            </a:ext>
          </a:extLst>
        </xdr:cNvPr>
        <xdr:cNvSpPr txBox="1">
          <a:spLocks noChangeArrowheads="1"/>
        </xdr:cNvSpPr>
      </xdr:nvSpPr>
      <xdr:spPr bwMode="auto">
        <a:xfrm>
          <a:off x="17973675" y="73380600"/>
          <a:ext cx="76200" cy="251596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35011"/>
    <xdr:sp macro="" textlink="">
      <xdr:nvSpPr>
        <xdr:cNvPr id="813" name="Text Box 43">
          <a:extLst>
            <a:ext uri="{FF2B5EF4-FFF2-40B4-BE49-F238E27FC236}">
              <a16:creationId xmlns="" xmlns:a16="http://schemas.microsoft.com/office/drawing/2014/main" id="{F9680D1C-FAE4-4E0A-90A1-8BEC1269CBAA}"/>
            </a:ext>
          </a:extLst>
        </xdr:cNvPr>
        <xdr:cNvSpPr txBox="1">
          <a:spLocks noChangeArrowheads="1"/>
        </xdr:cNvSpPr>
      </xdr:nvSpPr>
      <xdr:spPr bwMode="auto">
        <a:xfrm>
          <a:off x="17973675" y="73380600"/>
          <a:ext cx="76200" cy="25350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35011"/>
    <xdr:sp macro="" textlink="">
      <xdr:nvSpPr>
        <xdr:cNvPr id="814" name="Text Box 45">
          <a:extLst>
            <a:ext uri="{FF2B5EF4-FFF2-40B4-BE49-F238E27FC236}">
              <a16:creationId xmlns="" xmlns:a16="http://schemas.microsoft.com/office/drawing/2014/main" id="{3CF473F3-A4C0-4D42-A681-82DF9465277B}"/>
            </a:ext>
          </a:extLst>
        </xdr:cNvPr>
        <xdr:cNvSpPr txBox="1">
          <a:spLocks noChangeArrowheads="1"/>
        </xdr:cNvSpPr>
      </xdr:nvSpPr>
      <xdr:spPr bwMode="auto">
        <a:xfrm>
          <a:off x="17973675" y="73380600"/>
          <a:ext cx="76200" cy="25350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35011"/>
    <xdr:sp macro="" textlink="">
      <xdr:nvSpPr>
        <xdr:cNvPr id="815" name="Text Box 47">
          <a:extLst>
            <a:ext uri="{FF2B5EF4-FFF2-40B4-BE49-F238E27FC236}">
              <a16:creationId xmlns="" xmlns:a16="http://schemas.microsoft.com/office/drawing/2014/main" id="{C884BA76-DEC9-44AF-9ED1-15348EDC406A}"/>
            </a:ext>
          </a:extLst>
        </xdr:cNvPr>
        <xdr:cNvSpPr txBox="1">
          <a:spLocks noChangeArrowheads="1"/>
        </xdr:cNvSpPr>
      </xdr:nvSpPr>
      <xdr:spPr bwMode="auto">
        <a:xfrm>
          <a:off x="17973675" y="73380600"/>
          <a:ext cx="76200" cy="25350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35011"/>
    <xdr:sp macro="" textlink="">
      <xdr:nvSpPr>
        <xdr:cNvPr id="816" name="Text Box 48">
          <a:extLst>
            <a:ext uri="{FF2B5EF4-FFF2-40B4-BE49-F238E27FC236}">
              <a16:creationId xmlns="" xmlns:a16="http://schemas.microsoft.com/office/drawing/2014/main" id="{85D0B2E3-D092-48D8-828F-A6AD30817ADF}"/>
            </a:ext>
          </a:extLst>
        </xdr:cNvPr>
        <xdr:cNvSpPr txBox="1">
          <a:spLocks noChangeArrowheads="1"/>
        </xdr:cNvSpPr>
      </xdr:nvSpPr>
      <xdr:spPr bwMode="auto">
        <a:xfrm>
          <a:off x="17973675" y="73380600"/>
          <a:ext cx="76200" cy="25350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4343400"/>
    <xdr:sp macro="" textlink="">
      <xdr:nvSpPr>
        <xdr:cNvPr id="817" name="Text Box 803">
          <a:extLst>
            <a:ext uri="{FF2B5EF4-FFF2-40B4-BE49-F238E27FC236}">
              <a16:creationId xmlns="" xmlns:a16="http://schemas.microsoft.com/office/drawing/2014/main" id="{D633AF2D-81D2-4319-81E0-DC67829BB89A}"/>
            </a:ext>
          </a:extLst>
        </xdr:cNvPr>
        <xdr:cNvSpPr txBox="1">
          <a:spLocks noChangeArrowheads="1"/>
        </xdr:cNvSpPr>
      </xdr:nvSpPr>
      <xdr:spPr bwMode="auto">
        <a:xfrm>
          <a:off x="17973675" y="73380600"/>
          <a:ext cx="76200" cy="434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61925"/>
    <xdr:sp macro="" textlink="">
      <xdr:nvSpPr>
        <xdr:cNvPr id="818" name="Text Box 804">
          <a:extLst>
            <a:ext uri="{FF2B5EF4-FFF2-40B4-BE49-F238E27FC236}">
              <a16:creationId xmlns="" xmlns:a16="http://schemas.microsoft.com/office/drawing/2014/main" id="{E3EFD978-12DD-476F-8C01-7D8E813CC3D4}"/>
            </a:ext>
          </a:extLst>
        </xdr:cNvPr>
        <xdr:cNvSpPr txBox="1">
          <a:spLocks noChangeArrowheads="1"/>
        </xdr:cNvSpPr>
      </xdr:nvSpPr>
      <xdr:spPr bwMode="auto">
        <a:xfrm>
          <a:off x="17973675" y="73380600"/>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52400"/>
    <xdr:sp macro="" textlink="">
      <xdr:nvSpPr>
        <xdr:cNvPr id="820" name="Text Box 804">
          <a:extLst>
            <a:ext uri="{FF2B5EF4-FFF2-40B4-BE49-F238E27FC236}">
              <a16:creationId xmlns="" xmlns:a16="http://schemas.microsoft.com/office/drawing/2014/main" id="{EDF862C9-724F-43B3-9B22-E23D8C25B72A}"/>
            </a:ext>
          </a:extLst>
        </xdr:cNvPr>
        <xdr:cNvSpPr txBox="1">
          <a:spLocks noChangeArrowheads="1"/>
        </xdr:cNvSpPr>
      </xdr:nvSpPr>
      <xdr:spPr bwMode="auto">
        <a:xfrm>
          <a:off x="17973675" y="733806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821" name="Text Box 277747">
          <a:extLst>
            <a:ext uri="{FF2B5EF4-FFF2-40B4-BE49-F238E27FC236}">
              <a16:creationId xmlns="" xmlns:a16="http://schemas.microsoft.com/office/drawing/2014/main" id="{5C6C8F69-EB86-40CF-8ECB-A5E5371E84F3}"/>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822" name="Text Box 277748">
          <a:extLst>
            <a:ext uri="{FF2B5EF4-FFF2-40B4-BE49-F238E27FC236}">
              <a16:creationId xmlns="" xmlns:a16="http://schemas.microsoft.com/office/drawing/2014/main" id="{1BE2EC6F-C9E3-4EC1-8F39-92C2CAEB6E7B}"/>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823" name="Text Box 277749">
          <a:extLst>
            <a:ext uri="{FF2B5EF4-FFF2-40B4-BE49-F238E27FC236}">
              <a16:creationId xmlns="" xmlns:a16="http://schemas.microsoft.com/office/drawing/2014/main" id="{BCC87C5B-6C04-4C6D-B57F-FBA52D1AC419}"/>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824" name="Text Box 277750">
          <a:extLst>
            <a:ext uri="{FF2B5EF4-FFF2-40B4-BE49-F238E27FC236}">
              <a16:creationId xmlns="" xmlns:a16="http://schemas.microsoft.com/office/drawing/2014/main" id="{6E19C46F-95A5-4811-B889-042F5CDABAF9}"/>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825" name="Text Box 277023">
          <a:extLst>
            <a:ext uri="{FF2B5EF4-FFF2-40B4-BE49-F238E27FC236}">
              <a16:creationId xmlns="" xmlns:a16="http://schemas.microsoft.com/office/drawing/2014/main" id="{7DE2C9AD-7852-45F5-9437-25C2DA0F7156}"/>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826" name="Text Box 277024">
          <a:extLst>
            <a:ext uri="{FF2B5EF4-FFF2-40B4-BE49-F238E27FC236}">
              <a16:creationId xmlns="" xmlns:a16="http://schemas.microsoft.com/office/drawing/2014/main" id="{5A419DED-2A75-478D-8D88-EFCF4F3535D8}"/>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827" name="Text Box 277025">
          <a:extLst>
            <a:ext uri="{FF2B5EF4-FFF2-40B4-BE49-F238E27FC236}">
              <a16:creationId xmlns="" xmlns:a16="http://schemas.microsoft.com/office/drawing/2014/main" id="{F0EE4DAF-B2D5-4EE7-B7A2-24D43F1818C1}"/>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621847"/>
    <xdr:sp macro="" textlink="">
      <xdr:nvSpPr>
        <xdr:cNvPr id="828" name="Text Box 277026">
          <a:extLst>
            <a:ext uri="{FF2B5EF4-FFF2-40B4-BE49-F238E27FC236}">
              <a16:creationId xmlns="" xmlns:a16="http://schemas.microsoft.com/office/drawing/2014/main" id="{74C6073A-0597-4DD2-98C8-718A8229C375}"/>
            </a:ext>
          </a:extLst>
        </xdr:cNvPr>
        <xdr:cNvSpPr txBox="1">
          <a:spLocks noChangeArrowheads="1"/>
        </xdr:cNvSpPr>
      </xdr:nvSpPr>
      <xdr:spPr bwMode="auto">
        <a:xfrm>
          <a:off x="17973675"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29" name="Text Box 198">
          <a:extLst>
            <a:ext uri="{FF2B5EF4-FFF2-40B4-BE49-F238E27FC236}">
              <a16:creationId xmlns="" xmlns:a16="http://schemas.microsoft.com/office/drawing/2014/main" id="{6072E6D5-BE90-4FAC-810C-97D977234700}"/>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30" name="Text Box 199">
          <a:extLst>
            <a:ext uri="{FF2B5EF4-FFF2-40B4-BE49-F238E27FC236}">
              <a16:creationId xmlns="" xmlns:a16="http://schemas.microsoft.com/office/drawing/2014/main" id="{547C8635-9E3F-43FA-88E7-B282B13FB033}"/>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31" name="Text Box 208">
          <a:extLst>
            <a:ext uri="{FF2B5EF4-FFF2-40B4-BE49-F238E27FC236}">
              <a16:creationId xmlns="" xmlns:a16="http://schemas.microsoft.com/office/drawing/2014/main" id="{798046A1-FDA8-45C1-9347-A5795BFF2210}"/>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32" name="Text Box 209">
          <a:extLst>
            <a:ext uri="{FF2B5EF4-FFF2-40B4-BE49-F238E27FC236}">
              <a16:creationId xmlns="" xmlns:a16="http://schemas.microsoft.com/office/drawing/2014/main" id="{2A820ECE-B7DD-455B-8716-85DECE79099D}"/>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33" name="Text Box 210">
          <a:extLst>
            <a:ext uri="{FF2B5EF4-FFF2-40B4-BE49-F238E27FC236}">
              <a16:creationId xmlns="" xmlns:a16="http://schemas.microsoft.com/office/drawing/2014/main" id="{53171BC2-0069-435F-AE38-4F1F803D489E}"/>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34" name="Text Box 211">
          <a:extLst>
            <a:ext uri="{FF2B5EF4-FFF2-40B4-BE49-F238E27FC236}">
              <a16:creationId xmlns="" xmlns:a16="http://schemas.microsoft.com/office/drawing/2014/main" id="{B4936869-210D-4D27-AB34-2D8ED9978934}"/>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35" name="Text Box 43">
          <a:extLst>
            <a:ext uri="{FF2B5EF4-FFF2-40B4-BE49-F238E27FC236}">
              <a16:creationId xmlns="" xmlns:a16="http://schemas.microsoft.com/office/drawing/2014/main" id="{1D85D1AA-8EB4-4759-9588-EDAB8FC33834}"/>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36" name="Text Box 45">
          <a:extLst>
            <a:ext uri="{FF2B5EF4-FFF2-40B4-BE49-F238E27FC236}">
              <a16:creationId xmlns="" xmlns:a16="http://schemas.microsoft.com/office/drawing/2014/main" id="{D107EA8F-8235-4731-9A52-EDB3F346E847}"/>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37" name="Text Box 47">
          <a:extLst>
            <a:ext uri="{FF2B5EF4-FFF2-40B4-BE49-F238E27FC236}">
              <a16:creationId xmlns="" xmlns:a16="http://schemas.microsoft.com/office/drawing/2014/main" id="{7552543A-FD4B-4514-8F91-EF8BBC09662B}"/>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38" name="Text Box 48">
          <a:extLst>
            <a:ext uri="{FF2B5EF4-FFF2-40B4-BE49-F238E27FC236}">
              <a16:creationId xmlns="" xmlns:a16="http://schemas.microsoft.com/office/drawing/2014/main" id="{C8F7B3BE-D5D1-4537-89BC-29B3FAF1F57D}"/>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39" name="Text Box 394">
          <a:extLst>
            <a:ext uri="{FF2B5EF4-FFF2-40B4-BE49-F238E27FC236}">
              <a16:creationId xmlns="" xmlns:a16="http://schemas.microsoft.com/office/drawing/2014/main" id="{94823D81-A3FB-41C5-8913-C0D95FA3CB6D}"/>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40" name="Text Box 395">
          <a:extLst>
            <a:ext uri="{FF2B5EF4-FFF2-40B4-BE49-F238E27FC236}">
              <a16:creationId xmlns="" xmlns:a16="http://schemas.microsoft.com/office/drawing/2014/main" id="{644D7987-1590-41BB-84D5-ED0C300E4440}"/>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41" name="Text Box 396">
          <a:extLst>
            <a:ext uri="{FF2B5EF4-FFF2-40B4-BE49-F238E27FC236}">
              <a16:creationId xmlns="" xmlns:a16="http://schemas.microsoft.com/office/drawing/2014/main" id="{7995FCBB-4636-4012-A75F-55A5099E9950}"/>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42" name="Text Box 397">
          <a:extLst>
            <a:ext uri="{FF2B5EF4-FFF2-40B4-BE49-F238E27FC236}">
              <a16:creationId xmlns="" xmlns:a16="http://schemas.microsoft.com/office/drawing/2014/main" id="{223578C2-DAF5-4A56-8AFF-89F8E674FB3C}"/>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43" name="Text Box 43">
          <a:extLst>
            <a:ext uri="{FF2B5EF4-FFF2-40B4-BE49-F238E27FC236}">
              <a16:creationId xmlns="" xmlns:a16="http://schemas.microsoft.com/office/drawing/2014/main" id="{A0464D47-D234-45B7-8853-6D3B22DFF8E5}"/>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44" name="Text Box 45">
          <a:extLst>
            <a:ext uri="{FF2B5EF4-FFF2-40B4-BE49-F238E27FC236}">
              <a16:creationId xmlns="" xmlns:a16="http://schemas.microsoft.com/office/drawing/2014/main" id="{D4C870A0-DEFE-460E-A355-4332B1BF9EEF}"/>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45" name="Text Box 47">
          <a:extLst>
            <a:ext uri="{FF2B5EF4-FFF2-40B4-BE49-F238E27FC236}">
              <a16:creationId xmlns="" xmlns:a16="http://schemas.microsoft.com/office/drawing/2014/main" id="{1B94689F-80F6-4AD3-AF32-3E1C3D6CC546}"/>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83279"/>
    <xdr:sp macro="" textlink="">
      <xdr:nvSpPr>
        <xdr:cNvPr id="846" name="Text Box 48">
          <a:extLst>
            <a:ext uri="{FF2B5EF4-FFF2-40B4-BE49-F238E27FC236}">
              <a16:creationId xmlns="" xmlns:a16="http://schemas.microsoft.com/office/drawing/2014/main" id="{53859C86-320B-4390-B97D-EFB91F727A59}"/>
            </a:ext>
          </a:extLst>
        </xdr:cNvPr>
        <xdr:cNvSpPr txBox="1">
          <a:spLocks noChangeArrowheads="1"/>
        </xdr:cNvSpPr>
      </xdr:nvSpPr>
      <xdr:spPr bwMode="auto">
        <a:xfrm>
          <a:off x="17973675"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42582"/>
    <xdr:sp macro="" textlink="">
      <xdr:nvSpPr>
        <xdr:cNvPr id="847" name="Text Box 607">
          <a:extLst>
            <a:ext uri="{FF2B5EF4-FFF2-40B4-BE49-F238E27FC236}">
              <a16:creationId xmlns="" xmlns:a16="http://schemas.microsoft.com/office/drawing/2014/main" id="{D670EB2D-ED55-43BF-B0BB-6038EB18B5AF}"/>
            </a:ext>
          </a:extLst>
        </xdr:cNvPr>
        <xdr:cNvSpPr txBox="1">
          <a:spLocks noChangeArrowheads="1"/>
        </xdr:cNvSpPr>
      </xdr:nvSpPr>
      <xdr:spPr bwMode="auto">
        <a:xfrm>
          <a:off x="17973675" y="73380600"/>
          <a:ext cx="76200" cy="32425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42582"/>
    <xdr:sp macro="" textlink="">
      <xdr:nvSpPr>
        <xdr:cNvPr id="848" name="Text Box 608">
          <a:extLst>
            <a:ext uri="{FF2B5EF4-FFF2-40B4-BE49-F238E27FC236}">
              <a16:creationId xmlns="" xmlns:a16="http://schemas.microsoft.com/office/drawing/2014/main" id="{1B118B40-B30C-4221-8CB7-F628FE93704C}"/>
            </a:ext>
          </a:extLst>
        </xdr:cNvPr>
        <xdr:cNvSpPr txBox="1">
          <a:spLocks noChangeArrowheads="1"/>
        </xdr:cNvSpPr>
      </xdr:nvSpPr>
      <xdr:spPr bwMode="auto">
        <a:xfrm>
          <a:off x="17973675" y="73380600"/>
          <a:ext cx="76200" cy="32425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49" name="Text Box 617">
          <a:extLst>
            <a:ext uri="{FF2B5EF4-FFF2-40B4-BE49-F238E27FC236}">
              <a16:creationId xmlns="" xmlns:a16="http://schemas.microsoft.com/office/drawing/2014/main" id="{88C01A41-2087-4F63-A2BF-E8BF0415BCFA}"/>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50" name="Text Box 618">
          <a:extLst>
            <a:ext uri="{FF2B5EF4-FFF2-40B4-BE49-F238E27FC236}">
              <a16:creationId xmlns="" xmlns:a16="http://schemas.microsoft.com/office/drawing/2014/main" id="{7E6A9EA2-C77B-48AB-BD29-AA6C6F75C449}"/>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02329"/>
    <xdr:sp macro="" textlink="">
      <xdr:nvSpPr>
        <xdr:cNvPr id="851" name="Text Box 619">
          <a:extLst>
            <a:ext uri="{FF2B5EF4-FFF2-40B4-BE49-F238E27FC236}">
              <a16:creationId xmlns="" xmlns:a16="http://schemas.microsoft.com/office/drawing/2014/main" id="{B0808FB3-6FD9-4973-ADFC-412575E23B0B}"/>
            </a:ext>
          </a:extLst>
        </xdr:cNvPr>
        <xdr:cNvSpPr txBox="1">
          <a:spLocks noChangeArrowheads="1"/>
        </xdr:cNvSpPr>
      </xdr:nvSpPr>
      <xdr:spPr bwMode="auto">
        <a:xfrm>
          <a:off x="17973675"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11</xdr:col>
      <xdr:colOff>495300</xdr:colOff>
      <xdr:row>276</xdr:row>
      <xdr:rowOff>0</xdr:rowOff>
    </xdr:from>
    <xdr:ext cx="63500" cy="457200"/>
    <xdr:sp macro="" textlink="">
      <xdr:nvSpPr>
        <xdr:cNvPr id="854" name="Text Box 45">
          <a:extLst>
            <a:ext uri="{FF2B5EF4-FFF2-40B4-BE49-F238E27FC236}">
              <a16:creationId xmlns="" xmlns:a16="http://schemas.microsoft.com/office/drawing/2014/main" id="{13E7AE61-458F-445C-AE3C-FBBCEB5F672D}"/>
            </a:ext>
          </a:extLst>
        </xdr:cNvPr>
        <xdr:cNvSpPr txBox="1">
          <a:spLocks noChangeArrowheads="1"/>
        </xdr:cNvSpPr>
      </xdr:nvSpPr>
      <xdr:spPr bwMode="auto">
        <a:xfrm flipH="1">
          <a:off x="18122900" y="450596001"/>
          <a:ext cx="63500" cy="4572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11</xdr:col>
      <xdr:colOff>457200</xdr:colOff>
      <xdr:row>276</xdr:row>
      <xdr:rowOff>0</xdr:rowOff>
    </xdr:from>
    <xdr:ext cx="76200" cy="2302329"/>
    <xdr:sp macro="" textlink="">
      <xdr:nvSpPr>
        <xdr:cNvPr id="856" name="Text Box 48">
          <a:extLst>
            <a:ext uri="{FF2B5EF4-FFF2-40B4-BE49-F238E27FC236}">
              <a16:creationId xmlns="" xmlns:a16="http://schemas.microsoft.com/office/drawing/2014/main" id="{B0CF0835-2947-4867-891E-FA1AAB54EC0D}"/>
            </a:ext>
          </a:extLst>
        </xdr:cNvPr>
        <xdr:cNvSpPr txBox="1">
          <a:spLocks noChangeArrowheads="1"/>
        </xdr:cNvSpPr>
      </xdr:nvSpPr>
      <xdr:spPr bwMode="auto">
        <a:xfrm>
          <a:off x="18084800" y="449554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59" name="Text Box 47">
          <a:extLst>
            <a:ext uri="{FF2B5EF4-FFF2-40B4-BE49-F238E27FC236}">
              <a16:creationId xmlns="" xmlns:a16="http://schemas.microsoft.com/office/drawing/2014/main" id="{5440CCBA-7B77-4876-9673-EAEFB695B231}"/>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60" name="Text Box 48">
          <a:extLst>
            <a:ext uri="{FF2B5EF4-FFF2-40B4-BE49-F238E27FC236}">
              <a16:creationId xmlns="" xmlns:a16="http://schemas.microsoft.com/office/drawing/2014/main" id="{F127650C-600C-4709-93B8-DF61BEE3299E}"/>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61" name="Text Box 49">
          <a:extLst>
            <a:ext uri="{FF2B5EF4-FFF2-40B4-BE49-F238E27FC236}">
              <a16:creationId xmlns="" xmlns:a16="http://schemas.microsoft.com/office/drawing/2014/main" id="{70B0D0A5-2AE6-448D-A94D-E4845037A42B}"/>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62" name="Text Box 50">
          <a:extLst>
            <a:ext uri="{FF2B5EF4-FFF2-40B4-BE49-F238E27FC236}">
              <a16:creationId xmlns="" xmlns:a16="http://schemas.microsoft.com/office/drawing/2014/main" id="{EDABABAC-536E-40ED-9B99-BD63B89E1896}"/>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63" name="Text Box 70">
          <a:extLst>
            <a:ext uri="{FF2B5EF4-FFF2-40B4-BE49-F238E27FC236}">
              <a16:creationId xmlns="" xmlns:a16="http://schemas.microsoft.com/office/drawing/2014/main" id="{84B163B8-7102-4D97-9D5C-E6F446AA2BC3}"/>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64" name="Text Box 71">
          <a:extLst>
            <a:ext uri="{FF2B5EF4-FFF2-40B4-BE49-F238E27FC236}">
              <a16:creationId xmlns="" xmlns:a16="http://schemas.microsoft.com/office/drawing/2014/main" id="{84BC02BD-E683-4430-B430-6BC66D60BB01}"/>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65" name="Text Box 72">
          <a:extLst>
            <a:ext uri="{FF2B5EF4-FFF2-40B4-BE49-F238E27FC236}">
              <a16:creationId xmlns="" xmlns:a16="http://schemas.microsoft.com/office/drawing/2014/main" id="{D7907212-306E-473E-AB38-1AA8DF8AA59D}"/>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66" name="Text Box 73">
          <a:extLst>
            <a:ext uri="{FF2B5EF4-FFF2-40B4-BE49-F238E27FC236}">
              <a16:creationId xmlns="" xmlns:a16="http://schemas.microsoft.com/office/drawing/2014/main" id="{1B777901-CB7C-451D-96DF-8E7537196B2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867" name="Text Box 19">
          <a:extLst>
            <a:ext uri="{FF2B5EF4-FFF2-40B4-BE49-F238E27FC236}">
              <a16:creationId xmlns="" xmlns:a16="http://schemas.microsoft.com/office/drawing/2014/main" id="{73D95A36-3FCA-4047-95BB-743491E0B813}"/>
            </a:ext>
          </a:extLst>
        </xdr:cNvPr>
        <xdr:cNvSpPr txBox="1">
          <a:spLocks noChangeArrowheads="1"/>
        </xdr:cNvSpPr>
      </xdr:nvSpPr>
      <xdr:spPr bwMode="auto">
        <a:xfrm>
          <a:off x="20088225"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868" name="Text Box 20">
          <a:extLst>
            <a:ext uri="{FF2B5EF4-FFF2-40B4-BE49-F238E27FC236}">
              <a16:creationId xmlns="" xmlns:a16="http://schemas.microsoft.com/office/drawing/2014/main" id="{99F3FE0E-DF97-486E-9676-13F065EEBDCD}"/>
            </a:ext>
          </a:extLst>
        </xdr:cNvPr>
        <xdr:cNvSpPr txBox="1">
          <a:spLocks noChangeArrowheads="1"/>
        </xdr:cNvSpPr>
      </xdr:nvSpPr>
      <xdr:spPr bwMode="auto">
        <a:xfrm>
          <a:off x="20088225"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69" name="Text Box 21">
          <a:extLst>
            <a:ext uri="{FF2B5EF4-FFF2-40B4-BE49-F238E27FC236}">
              <a16:creationId xmlns="" xmlns:a16="http://schemas.microsoft.com/office/drawing/2014/main" id="{0CA20DF2-D3B0-4216-AB14-A78D721B3F91}"/>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70" name="Text Box 22">
          <a:extLst>
            <a:ext uri="{FF2B5EF4-FFF2-40B4-BE49-F238E27FC236}">
              <a16:creationId xmlns="" xmlns:a16="http://schemas.microsoft.com/office/drawing/2014/main" id="{A7BFCC42-3B34-42A2-8D4E-9214BB06883A}"/>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71" name="Text Box 23">
          <a:extLst>
            <a:ext uri="{FF2B5EF4-FFF2-40B4-BE49-F238E27FC236}">
              <a16:creationId xmlns="" xmlns:a16="http://schemas.microsoft.com/office/drawing/2014/main" id="{758D9494-4AC7-4925-82E1-509664317530}"/>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72" name="Text Box 24">
          <a:extLst>
            <a:ext uri="{FF2B5EF4-FFF2-40B4-BE49-F238E27FC236}">
              <a16:creationId xmlns="" xmlns:a16="http://schemas.microsoft.com/office/drawing/2014/main" id="{DD3937FF-507B-4F3D-A627-9E8DDB351860}"/>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73" name="Text Box 25">
          <a:extLst>
            <a:ext uri="{FF2B5EF4-FFF2-40B4-BE49-F238E27FC236}">
              <a16:creationId xmlns="" xmlns:a16="http://schemas.microsoft.com/office/drawing/2014/main" id="{D5A9AF55-6ABA-4313-980C-09017C0B33F9}"/>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74" name="Text Box 26">
          <a:extLst>
            <a:ext uri="{FF2B5EF4-FFF2-40B4-BE49-F238E27FC236}">
              <a16:creationId xmlns="" xmlns:a16="http://schemas.microsoft.com/office/drawing/2014/main" id="{73168422-F9B6-4C2C-9E4C-E4B052BE8805}"/>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75" name="Text Box 27">
          <a:extLst>
            <a:ext uri="{FF2B5EF4-FFF2-40B4-BE49-F238E27FC236}">
              <a16:creationId xmlns="" xmlns:a16="http://schemas.microsoft.com/office/drawing/2014/main" id="{ED392353-A94E-41EC-9771-B719477EB9EE}"/>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76" name="Text Box 28">
          <a:extLst>
            <a:ext uri="{FF2B5EF4-FFF2-40B4-BE49-F238E27FC236}">
              <a16:creationId xmlns="" xmlns:a16="http://schemas.microsoft.com/office/drawing/2014/main" id="{21C4A5DA-AAB8-4C8C-9DD5-9D035F96E8D7}"/>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77" name="Text Box 29">
          <a:extLst>
            <a:ext uri="{FF2B5EF4-FFF2-40B4-BE49-F238E27FC236}">
              <a16:creationId xmlns="" xmlns:a16="http://schemas.microsoft.com/office/drawing/2014/main" id="{C7DBE6E3-9272-4CA6-8E17-9A415BFD9ED9}"/>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78" name="Text Box 30">
          <a:extLst>
            <a:ext uri="{FF2B5EF4-FFF2-40B4-BE49-F238E27FC236}">
              <a16:creationId xmlns="" xmlns:a16="http://schemas.microsoft.com/office/drawing/2014/main" id="{35A769AB-95E1-4C9C-8F03-CB92B16B56CD}"/>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79" name="Text Box 31">
          <a:extLst>
            <a:ext uri="{FF2B5EF4-FFF2-40B4-BE49-F238E27FC236}">
              <a16:creationId xmlns="" xmlns:a16="http://schemas.microsoft.com/office/drawing/2014/main" id="{2B4F87C3-CC4E-4996-BED8-D119C6C93ADC}"/>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80" name="Text Box 32">
          <a:extLst>
            <a:ext uri="{FF2B5EF4-FFF2-40B4-BE49-F238E27FC236}">
              <a16:creationId xmlns="" xmlns:a16="http://schemas.microsoft.com/office/drawing/2014/main" id="{CB3AB940-EC61-495F-9C70-3F4463A108A9}"/>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81" name="Text Box 33">
          <a:extLst>
            <a:ext uri="{FF2B5EF4-FFF2-40B4-BE49-F238E27FC236}">
              <a16:creationId xmlns="" xmlns:a16="http://schemas.microsoft.com/office/drawing/2014/main" id="{B822CECD-CD8E-47F5-A49C-1DD1BD528AE5}"/>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82" name="Text Box 34">
          <a:extLst>
            <a:ext uri="{FF2B5EF4-FFF2-40B4-BE49-F238E27FC236}">
              <a16:creationId xmlns="" xmlns:a16="http://schemas.microsoft.com/office/drawing/2014/main" id="{1377B7E1-663D-4316-B1BA-51E173073CBD}"/>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883" name="Text Box 35">
          <a:extLst>
            <a:ext uri="{FF2B5EF4-FFF2-40B4-BE49-F238E27FC236}">
              <a16:creationId xmlns="" xmlns:a16="http://schemas.microsoft.com/office/drawing/2014/main" id="{FEC7BDC4-7846-4619-B2C1-E49E516F3CA0}"/>
            </a:ext>
          </a:extLst>
        </xdr:cNvPr>
        <xdr:cNvSpPr txBox="1">
          <a:spLocks noChangeArrowheads="1"/>
        </xdr:cNvSpPr>
      </xdr:nvSpPr>
      <xdr:spPr bwMode="auto">
        <a:xfrm>
          <a:off x="2008822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884" name="Text Box 36">
          <a:extLst>
            <a:ext uri="{FF2B5EF4-FFF2-40B4-BE49-F238E27FC236}">
              <a16:creationId xmlns="" xmlns:a16="http://schemas.microsoft.com/office/drawing/2014/main" id="{C91C4007-60E2-499C-813B-941A495C36A0}"/>
            </a:ext>
          </a:extLst>
        </xdr:cNvPr>
        <xdr:cNvSpPr txBox="1">
          <a:spLocks noChangeArrowheads="1"/>
        </xdr:cNvSpPr>
      </xdr:nvSpPr>
      <xdr:spPr bwMode="auto">
        <a:xfrm>
          <a:off x="2008822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85" name="Text Box 37">
          <a:extLst>
            <a:ext uri="{FF2B5EF4-FFF2-40B4-BE49-F238E27FC236}">
              <a16:creationId xmlns="" xmlns:a16="http://schemas.microsoft.com/office/drawing/2014/main" id="{B780E458-7E77-4DB7-A726-E0E53ED3A410}"/>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86" name="Text Box 38">
          <a:extLst>
            <a:ext uri="{FF2B5EF4-FFF2-40B4-BE49-F238E27FC236}">
              <a16:creationId xmlns="" xmlns:a16="http://schemas.microsoft.com/office/drawing/2014/main" id="{53609810-CBA8-47EB-AA88-39DE3A1B21B4}"/>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87" name="Text Box 39">
          <a:extLst>
            <a:ext uri="{FF2B5EF4-FFF2-40B4-BE49-F238E27FC236}">
              <a16:creationId xmlns="" xmlns:a16="http://schemas.microsoft.com/office/drawing/2014/main" id="{7C3B6D8F-A5A9-4CF9-B1DD-368214CCD1A0}"/>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88" name="Text Box 40">
          <a:extLst>
            <a:ext uri="{FF2B5EF4-FFF2-40B4-BE49-F238E27FC236}">
              <a16:creationId xmlns="" xmlns:a16="http://schemas.microsoft.com/office/drawing/2014/main" id="{CEABE3ED-30B3-459F-8FA2-9E68CB23A0FB}"/>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89" name="Text Box 41">
          <a:extLst>
            <a:ext uri="{FF2B5EF4-FFF2-40B4-BE49-F238E27FC236}">
              <a16:creationId xmlns="" xmlns:a16="http://schemas.microsoft.com/office/drawing/2014/main" id="{3681ABDA-326F-457C-BFA4-C11662808BCC}"/>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890" name="Text Box 42">
          <a:extLst>
            <a:ext uri="{FF2B5EF4-FFF2-40B4-BE49-F238E27FC236}">
              <a16:creationId xmlns="" xmlns:a16="http://schemas.microsoft.com/office/drawing/2014/main" id="{9AA1CE7D-6CB4-49ED-98E9-B6C817E1629C}"/>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91" name="Text Box 43">
          <a:extLst>
            <a:ext uri="{FF2B5EF4-FFF2-40B4-BE49-F238E27FC236}">
              <a16:creationId xmlns="" xmlns:a16="http://schemas.microsoft.com/office/drawing/2014/main" id="{5E5EC898-4C0A-44D0-AA92-1499723874DC}"/>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92" name="Text Box 44">
          <a:extLst>
            <a:ext uri="{FF2B5EF4-FFF2-40B4-BE49-F238E27FC236}">
              <a16:creationId xmlns="" xmlns:a16="http://schemas.microsoft.com/office/drawing/2014/main" id="{397ADB17-2298-4327-A092-700E3962A5A7}"/>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93" name="Text Box 45">
          <a:extLst>
            <a:ext uri="{FF2B5EF4-FFF2-40B4-BE49-F238E27FC236}">
              <a16:creationId xmlns="" xmlns:a16="http://schemas.microsoft.com/office/drawing/2014/main" id="{DA19E963-9DDA-4C84-83A9-C1029EB6D860}"/>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94" name="Text Box 46">
          <a:extLst>
            <a:ext uri="{FF2B5EF4-FFF2-40B4-BE49-F238E27FC236}">
              <a16:creationId xmlns="" xmlns:a16="http://schemas.microsoft.com/office/drawing/2014/main" id="{F73D07AE-0CA4-4C48-9C83-D0EC4F4F9284}"/>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95" name="Text Box 47">
          <a:extLst>
            <a:ext uri="{FF2B5EF4-FFF2-40B4-BE49-F238E27FC236}">
              <a16:creationId xmlns="" xmlns:a16="http://schemas.microsoft.com/office/drawing/2014/main" id="{C31A6B03-A1CE-43A0-A92F-1874726B6EC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96" name="Text Box 48">
          <a:extLst>
            <a:ext uri="{FF2B5EF4-FFF2-40B4-BE49-F238E27FC236}">
              <a16:creationId xmlns="" xmlns:a16="http://schemas.microsoft.com/office/drawing/2014/main" id="{093AF3C0-266D-4424-A98B-E8778EFF21DB}"/>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97" name="Text Box 49">
          <a:extLst>
            <a:ext uri="{FF2B5EF4-FFF2-40B4-BE49-F238E27FC236}">
              <a16:creationId xmlns="" xmlns:a16="http://schemas.microsoft.com/office/drawing/2014/main" id="{33CE4EF1-6085-4871-AF3F-A1F6EF6A4D1F}"/>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898" name="Text Box 50">
          <a:extLst>
            <a:ext uri="{FF2B5EF4-FFF2-40B4-BE49-F238E27FC236}">
              <a16:creationId xmlns="" xmlns:a16="http://schemas.microsoft.com/office/drawing/2014/main" id="{52D0F5C4-40B7-4536-AA93-CC5F2003FC0C}"/>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899" name="Text Box 51">
          <a:extLst>
            <a:ext uri="{FF2B5EF4-FFF2-40B4-BE49-F238E27FC236}">
              <a16:creationId xmlns="" xmlns:a16="http://schemas.microsoft.com/office/drawing/2014/main" id="{A4ED42A7-8089-4D81-8475-72710B4E3F46}"/>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00" name="Text Box 52">
          <a:extLst>
            <a:ext uri="{FF2B5EF4-FFF2-40B4-BE49-F238E27FC236}">
              <a16:creationId xmlns="" xmlns:a16="http://schemas.microsoft.com/office/drawing/2014/main" id="{6D03B154-A699-4895-BAAA-23D4331BB8D5}"/>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01" name="Text Box 53">
          <a:extLst>
            <a:ext uri="{FF2B5EF4-FFF2-40B4-BE49-F238E27FC236}">
              <a16:creationId xmlns="" xmlns:a16="http://schemas.microsoft.com/office/drawing/2014/main" id="{51F1F775-1C76-4A3A-9093-6C0A65AFD1B2}"/>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02" name="Text Box 54">
          <a:extLst>
            <a:ext uri="{FF2B5EF4-FFF2-40B4-BE49-F238E27FC236}">
              <a16:creationId xmlns="" xmlns:a16="http://schemas.microsoft.com/office/drawing/2014/main" id="{D33B8E00-0A63-474D-9202-E7CAD93889BE}"/>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03" name="Text Box 55">
          <a:extLst>
            <a:ext uri="{FF2B5EF4-FFF2-40B4-BE49-F238E27FC236}">
              <a16:creationId xmlns="" xmlns:a16="http://schemas.microsoft.com/office/drawing/2014/main" id="{C7FB62DC-F568-4719-9CD9-611E1E96A9E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04" name="Text Box 56">
          <a:extLst>
            <a:ext uri="{FF2B5EF4-FFF2-40B4-BE49-F238E27FC236}">
              <a16:creationId xmlns="" xmlns:a16="http://schemas.microsoft.com/office/drawing/2014/main" id="{1846AA66-9BBC-439F-AADF-5B8A47ABEAB5}"/>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05" name="Text Box 57">
          <a:extLst>
            <a:ext uri="{FF2B5EF4-FFF2-40B4-BE49-F238E27FC236}">
              <a16:creationId xmlns="" xmlns:a16="http://schemas.microsoft.com/office/drawing/2014/main" id="{A6EAB7A9-66A4-47D3-A39E-48AF506D29CD}"/>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06" name="Text Box 58">
          <a:extLst>
            <a:ext uri="{FF2B5EF4-FFF2-40B4-BE49-F238E27FC236}">
              <a16:creationId xmlns="" xmlns:a16="http://schemas.microsoft.com/office/drawing/2014/main" id="{1703FC0F-91BA-49B7-B43A-0FFA5A76C40F}"/>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07" name="Text Box 59">
          <a:extLst>
            <a:ext uri="{FF2B5EF4-FFF2-40B4-BE49-F238E27FC236}">
              <a16:creationId xmlns="" xmlns:a16="http://schemas.microsoft.com/office/drawing/2014/main" id="{2D295227-3D93-41C2-81B0-94F6A27C2D8E}"/>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08" name="Text Box 60">
          <a:extLst>
            <a:ext uri="{FF2B5EF4-FFF2-40B4-BE49-F238E27FC236}">
              <a16:creationId xmlns="" xmlns:a16="http://schemas.microsoft.com/office/drawing/2014/main" id="{9F87F7F4-167B-43A8-943D-938488F8FFAD}"/>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09" name="Text Box 61">
          <a:extLst>
            <a:ext uri="{FF2B5EF4-FFF2-40B4-BE49-F238E27FC236}">
              <a16:creationId xmlns="" xmlns:a16="http://schemas.microsoft.com/office/drawing/2014/main" id="{AC7F4D3A-54B3-46D4-B559-94B5D0D5DAF5}"/>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10" name="Text Box 62">
          <a:extLst>
            <a:ext uri="{FF2B5EF4-FFF2-40B4-BE49-F238E27FC236}">
              <a16:creationId xmlns="" xmlns:a16="http://schemas.microsoft.com/office/drawing/2014/main" id="{2BA98C67-DEF3-49AE-813E-EA96683A943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11" name="Text Box 63">
          <a:extLst>
            <a:ext uri="{FF2B5EF4-FFF2-40B4-BE49-F238E27FC236}">
              <a16:creationId xmlns="" xmlns:a16="http://schemas.microsoft.com/office/drawing/2014/main" id="{F6B3E070-BAE1-4FC2-A1F9-71A7F257BF4E}"/>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12" name="Text Box 64">
          <a:extLst>
            <a:ext uri="{FF2B5EF4-FFF2-40B4-BE49-F238E27FC236}">
              <a16:creationId xmlns="" xmlns:a16="http://schemas.microsoft.com/office/drawing/2014/main" id="{CDE70654-6743-4761-B224-7A4621A442B3}"/>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1925"/>
    <xdr:sp macro="" textlink="">
      <xdr:nvSpPr>
        <xdr:cNvPr id="913" name="Text Box 65">
          <a:extLst>
            <a:ext uri="{FF2B5EF4-FFF2-40B4-BE49-F238E27FC236}">
              <a16:creationId xmlns="" xmlns:a16="http://schemas.microsoft.com/office/drawing/2014/main" id="{6B842E8D-0112-4F31-BF45-54A92F0EF3BD}"/>
            </a:ext>
          </a:extLst>
        </xdr:cNvPr>
        <xdr:cNvSpPr txBox="1">
          <a:spLocks noChangeArrowheads="1"/>
        </xdr:cNvSpPr>
      </xdr:nvSpPr>
      <xdr:spPr bwMode="auto">
        <a:xfrm>
          <a:off x="20088225"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1925"/>
    <xdr:sp macro="" textlink="">
      <xdr:nvSpPr>
        <xdr:cNvPr id="914" name="Text Box 66">
          <a:extLst>
            <a:ext uri="{FF2B5EF4-FFF2-40B4-BE49-F238E27FC236}">
              <a16:creationId xmlns="" xmlns:a16="http://schemas.microsoft.com/office/drawing/2014/main" id="{F3AE9CAC-57F1-496F-9925-70B080234A8A}"/>
            </a:ext>
          </a:extLst>
        </xdr:cNvPr>
        <xdr:cNvSpPr txBox="1">
          <a:spLocks noChangeArrowheads="1"/>
        </xdr:cNvSpPr>
      </xdr:nvSpPr>
      <xdr:spPr bwMode="auto">
        <a:xfrm>
          <a:off x="20088225"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915" name="Text Box 67">
          <a:extLst>
            <a:ext uri="{FF2B5EF4-FFF2-40B4-BE49-F238E27FC236}">
              <a16:creationId xmlns="" xmlns:a16="http://schemas.microsoft.com/office/drawing/2014/main" id="{8FFDB817-BCF8-4F6A-860F-C1A85AE35805}"/>
            </a:ext>
          </a:extLst>
        </xdr:cNvPr>
        <xdr:cNvSpPr txBox="1">
          <a:spLocks noChangeArrowheads="1"/>
        </xdr:cNvSpPr>
      </xdr:nvSpPr>
      <xdr:spPr bwMode="auto">
        <a:xfrm>
          <a:off x="20088225"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916" name="Text Box 68">
          <a:extLst>
            <a:ext uri="{FF2B5EF4-FFF2-40B4-BE49-F238E27FC236}">
              <a16:creationId xmlns="" xmlns:a16="http://schemas.microsoft.com/office/drawing/2014/main" id="{53E7C956-A61D-4B58-B41C-74DAD0B38EEE}"/>
            </a:ext>
          </a:extLst>
        </xdr:cNvPr>
        <xdr:cNvSpPr txBox="1">
          <a:spLocks noChangeArrowheads="1"/>
        </xdr:cNvSpPr>
      </xdr:nvSpPr>
      <xdr:spPr bwMode="auto">
        <a:xfrm>
          <a:off x="20088225"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917" name="Text Box 69">
          <a:extLst>
            <a:ext uri="{FF2B5EF4-FFF2-40B4-BE49-F238E27FC236}">
              <a16:creationId xmlns="" xmlns:a16="http://schemas.microsoft.com/office/drawing/2014/main" id="{06CA321E-2568-48A1-832D-F02AC7C9A0D6}"/>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918" name="Text Box 70">
          <a:extLst>
            <a:ext uri="{FF2B5EF4-FFF2-40B4-BE49-F238E27FC236}">
              <a16:creationId xmlns="" xmlns:a16="http://schemas.microsoft.com/office/drawing/2014/main" id="{52D76913-517A-4866-B055-390AF99D1987}"/>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919" name="Text Box 71">
          <a:extLst>
            <a:ext uri="{FF2B5EF4-FFF2-40B4-BE49-F238E27FC236}">
              <a16:creationId xmlns="" xmlns:a16="http://schemas.microsoft.com/office/drawing/2014/main" id="{A412603A-F370-4C6F-A1B3-F0C731D88B37}"/>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920" name="Text Box 72">
          <a:extLst>
            <a:ext uri="{FF2B5EF4-FFF2-40B4-BE49-F238E27FC236}">
              <a16:creationId xmlns="" xmlns:a16="http://schemas.microsoft.com/office/drawing/2014/main" id="{CB487FA0-C316-4D02-85F5-83DDB6366E47}"/>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21" name="Text Box 73">
          <a:extLst>
            <a:ext uri="{FF2B5EF4-FFF2-40B4-BE49-F238E27FC236}">
              <a16:creationId xmlns="" xmlns:a16="http://schemas.microsoft.com/office/drawing/2014/main" id="{C7E68C32-E96D-4A0C-9ADA-CDA152FFA99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22" name="Text Box 74">
          <a:extLst>
            <a:ext uri="{FF2B5EF4-FFF2-40B4-BE49-F238E27FC236}">
              <a16:creationId xmlns="" xmlns:a16="http://schemas.microsoft.com/office/drawing/2014/main" id="{79198D96-FCAE-4F33-9B85-B2AC1F061685}"/>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23" name="Text Box 75">
          <a:extLst>
            <a:ext uri="{FF2B5EF4-FFF2-40B4-BE49-F238E27FC236}">
              <a16:creationId xmlns="" xmlns:a16="http://schemas.microsoft.com/office/drawing/2014/main" id="{F38A8DD2-107B-492E-AE23-4579205707A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24" name="Text Box 76">
          <a:extLst>
            <a:ext uri="{FF2B5EF4-FFF2-40B4-BE49-F238E27FC236}">
              <a16:creationId xmlns="" xmlns:a16="http://schemas.microsoft.com/office/drawing/2014/main" id="{60660ACD-457E-43CD-B62D-D4FA64D38F7D}"/>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25" name="Text Box 77">
          <a:extLst>
            <a:ext uri="{FF2B5EF4-FFF2-40B4-BE49-F238E27FC236}">
              <a16:creationId xmlns="" xmlns:a16="http://schemas.microsoft.com/office/drawing/2014/main" id="{DFD78E42-D424-4DB2-846E-B58DD8B0618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26" name="Text Box 78">
          <a:extLst>
            <a:ext uri="{FF2B5EF4-FFF2-40B4-BE49-F238E27FC236}">
              <a16:creationId xmlns="" xmlns:a16="http://schemas.microsoft.com/office/drawing/2014/main" id="{8C19EBC6-0172-4461-9B64-F1B89292B269}"/>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27" name="Text Box 79">
          <a:extLst>
            <a:ext uri="{FF2B5EF4-FFF2-40B4-BE49-F238E27FC236}">
              <a16:creationId xmlns="" xmlns:a16="http://schemas.microsoft.com/office/drawing/2014/main" id="{62260892-37CA-454B-B30B-13381F9CC519}"/>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28" name="Text Box 80">
          <a:extLst>
            <a:ext uri="{FF2B5EF4-FFF2-40B4-BE49-F238E27FC236}">
              <a16:creationId xmlns="" xmlns:a16="http://schemas.microsoft.com/office/drawing/2014/main" id="{FA58C8FC-EC70-4419-910C-FD0186D09C15}"/>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29" name="Text Box 83">
          <a:extLst>
            <a:ext uri="{FF2B5EF4-FFF2-40B4-BE49-F238E27FC236}">
              <a16:creationId xmlns="" xmlns:a16="http://schemas.microsoft.com/office/drawing/2014/main" id="{7B3F9CB4-9710-4BB0-884A-5DB233C5610C}"/>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30" name="Text Box 84">
          <a:extLst>
            <a:ext uri="{FF2B5EF4-FFF2-40B4-BE49-F238E27FC236}">
              <a16:creationId xmlns="" xmlns:a16="http://schemas.microsoft.com/office/drawing/2014/main" id="{F1F98FDB-76F6-4964-AC53-0B9FCE1DE06A}"/>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31" name="Text Box 85">
          <a:extLst>
            <a:ext uri="{FF2B5EF4-FFF2-40B4-BE49-F238E27FC236}">
              <a16:creationId xmlns="" xmlns:a16="http://schemas.microsoft.com/office/drawing/2014/main" id="{42C24A85-67AD-47A3-8190-4253A10296C1}"/>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32" name="Text Box 86">
          <a:extLst>
            <a:ext uri="{FF2B5EF4-FFF2-40B4-BE49-F238E27FC236}">
              <a16:creationId xmlns="" xmlns:a16="http://schemas.microsoft.com/office/drawing/2014/main" id="{B19B47BA-3F1C-47E0-9F73-0B80914289C0}"/>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33" name="Text Box 93">
          <a:extLst>
            <a:ext uri="{FF2B5EF4-FFF2-40B4-BE49-F238E27FC236}">
              <a16:creationId xmlns="" xmlns:a16="http://schemas.microsoft.com/office/drawing/2014/main" id="{25DDF65C-73EB-4E6A-8A25-386044F16CB4}"/>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34" name="Text Box 94">
          <a:extLst>
            <a:ext uri="{FF2B5EF4-FFF2-40B4-BE49-F238E27FC236}">
              <a16:creationId xmlns="" xmlns:a16="http://schemas.microsoft.com/office/drawing/2014/main" id="{7E54A9CD-8032-45EE-9A1E-B2C89ED72C6B}"/>
            </a:ext>
          </a:extLst>
        </xdr:cNvPr>
        <xdr:cNvSpPr txBox="1">
          <a:spLocks noChangeArrowheads="1"/>
        </xdr:cNvSpPr>
      </xdr:nvSpPr>
      <xdr:spPr bwMode="auto">
        <a:xfrm>
          <a:off x="19030950"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35" name="Text Box 95">
          <a:extLst>
            <a:ext uri="{FF2B5EF4-FFF2-40B4-BE49-F238E27FC236}">
              <a16:creationId xmlns="" xmlns:a16="http://schemas.microsoft.com/office/drawing/2014/main" id="{706B65BF-4FC7-459D-B1E1-9E0BFE801E50}"/>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36" name="Text Box 96">
          <a:extLst>
            <a:ext uri="{FF2B5EF4-FFF2-40B4-BE49-F238E27FC236}">
              <a16:creationId xmlns="" xmlns:a16="http://schemas.microsoft.com/office/drawing/2014/main" id="{EDBD0D71-4F85-46B3-978C-E10A08D8DB9F}"/>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937" name="Text Box 97">
          <a:extLst>
            <a:ext uri="{FF2B5EF4-FFF2-40B4-BE49-F238E27FC236}">
              <a16:creationId xmlns="" xmlns:a16="http://schemas.microsoft.com/office/drawing/2014/main" id="{C6488436-D83A-4CDF-94F3-F7273179A6FE}"/>
            </a:ext>
          </a:extLst>
        </xdr:cNvPr>
        <xdr:cNvSpPr txBox="1">
          <a:spLocks noChangeArrowheads="1"/>
        </xdr:cNvSpPr>
      </xdr:nvSpPr>
      <xdr:spPr bwMode="auto">
        <a:xfrm>
          <a:off x="20088225"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938" name="Text Box 98">
          <a:extLst>
            <a:ext uri="{FF2B5EF4-FFF2-40B4-BE49-F238E27FC236}">
              <a16:creationId xmlns="" xmlns:a16="http://schemas.microsoft.com/office/drawing/2014/main" id="{E9BB5D68-5D76-4027-80E6-5F6E8A5F98AA}"/>
            </a:ext>
          </a:extLst>
        </xdr:cNvPr>
        <xdr:cNvSpPr txBox="1">
          <a:spLocks noChangeArrowheads="1"/>
        </xdr:cNvSpPr>
      </xdr:nvSpPr>
      <xdr:spPr bwMode="auto">
        <a:xfrm>
          <a:off x="20088225" y="733806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39" name="Text Box 99">
          <a:extLst>
            <a:ext uri="{FF2B5EF4-FFF2-40B4-BE49-F238E27FC236}">
              <a16:creationId xmlns="" xmlns:a16="http://schemas.microsoft.com/office/drawing/2014/main" id="{6034C5B3-2D91-462C-B1E4-37288CF421F1}"/>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40" name="Text Box 100">
          <a:extLst>
            <a:ext uri="{FF2B5EF4-FFF2-40B4-BE49-F238E27FC236}">
              <a16:creationId xmlns="" xmlns:a16="http://schemas.microsoft.com/office/drawing/2014/main" id="{9E821D71-AF94-40D8-9634-6BEC7417BBB2}"/>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41" name="Text Box 101">
          <a:extLst>
            <a:ext uri="{FF2B5EF4-FFF2-40B4-BE49-F238E27FC236}">
              <a16:creationId xmlns="" xmlns:a16="http://schemas.microsoft.com/office/drawing/2014/main" id="{7E0E8B2F-711B-4DA0-8F1B-ACF4A98609FA}"/>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42" name="Text Box 102">
          <a:extLst>
            <a:ext uri="{FF2B5EF4-FFF2-40B4-BE49-F238E27FC236}">
              <a16:creationId xmlns="" xmlns:a16="http://schemas.microsoft.com/office/drawing/2014/main" id="{BD4F3720-A8BA-4712-9357-85465BEFDCC5}"/>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43" name="Text Box 103">
          <a:extLst>
            <a:ext uri="{FF2B5EF4-FFF2-40B4-BE49-F238E27FC236}">
              <a16:creationId xmlns="" xmlns:a16="http://schemas.microsoft.com/office/drawing/2014/main" id="{D6400FBA-C6E6-41BB-9D25-5B00916283DB}"/>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44" name="Text Box 104">
          <a:extLst>
            <a:ext uri="{FF2B5EF4-FFF2-40B4-BE49-F238E27FC236}">
              <a16:creationId xmlns="" xmlns:a16="http://schemas.microsoft.com/office/drawing/2014/main" id="{870AA38F-0E18-495F-A347-352F9DFE68A9}"/>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45" name="Text Box 105">
          <a:extLst>
            <a:ext uri="{FF2B5EF4-FFF2-40B4-BE49-F238E27FC236}">
              <a16:creationId xmlns="" xmlns:a16="http://schemas.microsoft.com/office/drawing/2014/main" id="{7A6F66A7-4C43-4E81-A539-18BD5797C09C}"/>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46" name="Text Box 106">
          <a:extLst>
            <a:ext uri="{FF2B5EF4-FFF2-40B4-BE49-F238E27FC236}">
              <a16:creationId xmlns="" xmlns:a16="http://schemas.microsoft.com/office/drawing/2014/main" id="{DDE5111B-C90C-4F7B-8CE2-00740BBE60CD}"/>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47" name="Text Box 107">
          <a:extLst>
            <a:ext uri="{FF2B5EF4-FFF2-40B4-BE49-F238E27FC236}">
              <a16:creationId xmlns="" xmlns:a16="http://schemas.microsoft.com/office/drawing/2014/main" id="{9C811D38-9A9B-468D-A84C-3E96C7DB6F55}"/>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48" name="Text Box 108">
          <a:extLst>
            <a:ext uri="{FF2B5EF4-FFF2-40B4-BE49-F238E27FC236}">
              <a16:creationId xmlns="" xmlns:a16="http://schemas.microsoft.com/office/drawing/2014/main" id="{D26A35DD-A3AC-4D71-A774-D0C74BEC4987}"/>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49" name="Text Box 109">
          <a:extLst>
            <a:ext uri="{FF2B5EF4-FFF2-40B4-BE49-F238E27FC236}">
              <a16:creationId xmlns="" xmlns:a16="http://schemas.microsoft.com/office/drawing/2014/main" id="{C60995F2-B0C7-4C3E-ABC5-CC9807D0E0C9}"/>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50" name="Text Box 110">
          <a:extLst>
            <a:ext uri="{FF2B5EF4-FFF2-40B4-BE49-F238E27FC236}">
              <a16:creationId xmlns="" xmlns:a16="http://schemas.microsoft.com/office/drawing/2014/main" id="{F93D10DA-EADE-4D2D-B7E1-A89F8246A7BA}"/>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51" name="Text Box 111">
          <a:extLst>
            <a:ext uri="{FF2B5EF4-FFF2-40B4-BE49-F238E27FC236}">
              <a16:creationId xmlns="" xmlns:a16="http://schemas.microsoft.com/office/drawing/2014/main" id="{D60D5729-3BFB-44D6-A3DB-4F3903AF12CE}"/>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52" name="Text Box 112">
          <a:extLst>
            <a:ext uri="{FF2B5EF4-FFF2-40B4-BE49-F238E27FC236}">
              <a16:creationId xmlns="" xmlns:a16="http://schemas.microsoft.com/office/drawing/2014/main" id="{D2B3E049-CCD8-4DB9-87DA-D38F42E123A2}"/>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953" name="Text Box 113">
          <a:extLst>
            <a:ext uri="{FF2B5EF4-FFF2-40B4-BE49-F238E27FC236}">
              <a16:creationId xmlns="" xmlns:a16="http://schemas.microsoft.com/office/drawing/2014/main" id="{29EB3F3B-5040-46C9-A8BA-F93EDB27C39B}"/>
            </a:ext>
          </a:extLst>
        </xdr:cNvPr>
        <xdr:cNvSpPr txBox="1">
          <a:spLocks noChangeArrowheads="1"/>
        </xdr:cNvSpPr>
      </xdr:nvSpPr>
      <xdr:spPr bwMode="auto">
        <a:xfrm>
          <a:off x="2008822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954" name="Text Box 114">
          <a:extLst>
            <a:ext uri="{FF2B5EF4-FFF2-40B4-BE49-F238E27FC236}">
              <a16:creationId xmlns="" xmlns:a16="http://schemas.microsoft.com/office/drawing/2014/main" id="{6C71A611-9AE5-43E6-A7F7-6943507D9542}"/>
            </a:ext>
          </a:extLst>
        </xdr:cNvPr>
        <xdr:cNvSpPr txBox="1">
          <a:spLocks noChangeArrowheads="1"/>
        </xdr:cNvSpPr>
      </xdr:nvSpPr>
      <xdr:spPr bwMode="auto">
        <a:xfrm>
          <a:off x="20088225"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55" name="Text Box 115">
          <a:extLst>
            <a:ext uri="{FF2B5EF4-FFF2-40B4-BE49-F238E27FC236}">
              <a16:creationId xmlns="" xmlns:a16="http://schemas.microsoft.com/office/drawing/2014/main" id="{0BA04304-6AEF-4D69-8034-A03F6254ED6C}"/>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56" name="Text Box 116">
          <a:extLst>
            <a:ext uri="{FF2B5EF4-FFF2-40B4-BE49-F238E27FC236}">
              <a16:creationId xmlns="" xmlns:a16="http://schemas.microsoft.com/office/drawing/2014/main" id="{BA48693E-EC1A-4E69-8F5D-E54972206B72}"/>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57" name="Text Box 117">
          <a:extLst>
            <a:ext uri="{FF2B5EF4-FFF2-40B4-BE49-F238E27FC236}">
              <a16:creationId xmlns="" xmlns:a16="http://schemas.microsoft.com/office/drawing/2014/main" id="{545234AB-EFDB-4A63-9E91-277792725F97}"/>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58" name="Text Box 118">
          <a:extLst>
            <a:ext uri="{FF2B5EF4-FFF2-40B4-BE49-F238E27FC236}">
              <a16:creationId xmlns="" xmlns:a16="http://schemas.microsoft.com/office/drawing/2014/main" id="{0D420F3D-CED2-4C47-A933-387017B30625}"/>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59" name="Text Box 119">
          <a:extLst>
            <a:ext uri="{FF2B5EF4-FFF2-40B4-BE49-F238E27FC236}">
              <a16:creationId xmlns="" xmlns:a16="http://schemas.microsoft.com/office/drawing/2014/main" id="{48406471-B589-408C-BA6D-4B3C56F1226D}"/>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60" name="Text Box 120">
          <a:extLst>
            <a:ext uri="{FF2B5EF4-FFF2-40B4-BE49-F238E27FC236}">
              <a16:creationId xmlns="" xmlns:a16="http://schemas.microsoft.com/office/drawing/2014/main" id="{AC684D7F-C8AA-4B5B-ABB6-8E7700C094DD}"/>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61" name="Text Box 121">
          <a:extLst>
            <a:ext uri="{FF2B5EF4-FFF2-40B4-BE49-F238E27FC236}">
              <a16:creationId xmlns="" xmlns:a16="http://schemas.microsoft.com/office/drawing/2014/main" id="{081094B7-ED5D-496C-8F1E-61A719D73644}"/>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62" name="Text Box 122">
          <a:extLst>
            <a:ext uri="{FF2B5EF4-FFF2-40B4-BE49-F238E27FC236}">
              <a16:creationId xmlns="" xmlns:a16="http://schemas.microsoft.com/office/drawing/2014/main" id="{351A22CC-3FBF-4C77-AD70-0D20B425C7E8}"/>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63" name="Text Box 123">
          <a:extLst>
            <a:ext uri="{FF2B5EF4-FFF2-40B4-BE49-F238E27FC236}">
              <a16:creationId xmlns="" xmlns:a16="http://schemas.microsoft.com/office/drawing/2014/main" id="{B455C17A-FE5A-44E8-850D-5DE5D50F3343}"/>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64" name="Text Box 124">
          <a:extLst>
            <a:ext uri="{FF2B5EF4-FFF2-40B4-BE49-F238E27FC236}">
              <a16:creationId xmlns="" xmlns:a16="http://schemas.microsoft.com/office/drawing/2014/main" id="{0BF94B56-FE55-443B-A06E-8FC47CC1802C}"/>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65" name="Text Box 125">
          <a:extLst>
            <a:ext uri="{FF2B5EF4-FFF2-40B4-BE49-F238E27FC236}">
              <a16:creationId xmlns="" xmlns:a16="http://schemas.microsoft.com/office/drawing/2014/main" id="{A457B14F-6FC5-45DF-9E79-3A1387B01778}"/>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66" name="Text Box 126">
          <a:extLst>
            <a:ext uri="{FF2B5EF4-FFF2-40B4-BE49-F238E27FC236}">
              <a16:creationId xmlns="" xmlns:a16="http://schemas.microsoft.com/office/drawing/2014/main" id="{58B769BE-14E1-483F-85D3-9A3A827F5315}"/>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67" name="Text Box 127">
          <a:extLst>
            <a:ext uri="{FF2B5EF4-FFF2-40B4-BE49-F238E27FC236}">
              <a16:creationId xmlns="" xmlns:a16="http://schemas.microsoft.com/office/drawing/2014/main" id="{F5A26B4D-A3D9-4BC4-90B3-6F478FC98CEB}"/>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68" name="Text Box 128">
          <a:extLst>
            <a:ext uri="{FF2B5EF4-FFF2-40B4-BE49-F238E27FC236}">
              <a16:creationId xmlns="" xmlns:a16="http://schemas.microsoft.com/office/drawing/2014/main" id="{B2EDABB1-9B87-4B58-8514-854C8B129BD9}"/>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69" name="Text Box 129">
          <a:extLst>
            <a:ext uri="{FF2B5EF4-FFF2-40B4-BE49-F238E27FC236}">
              <a16:creationId xmlns="" xmlns:a16="http://schemas.microsoft.com/office/drawing/2014/main" id="{30471B1C-D5DF-4CAA-9AA7-E256FFEF8A05}"/>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70" name="Text Box 130">
          <a:extLst>
            <a:ext uri="{FF2B5EF4-FFF2-40B4-BE49-F238E27FC236}">
              <a16:creationId xmlns="" xmlns:a16="http://schemas.microsoft.com/office/drawing/2014/main" id="{CB6618ED-FF2D-491B-AA27-4914D44B9645}"/>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71" name="Text Box 131">
          <a:extLst>
            <a:ext uri="{FF2B5EF4-FFF2-40B4-BE49-F238E27FC236}">
              <a16:creationId xmlns="" xmlns:a16="http://schemas.microsoft.com/office/drawing/2014/main" id="{26774062-AF91-4581-B105-F64306300F8B}"/>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72" name="Text Box 132">
          <a:extLst>
            <a:ext uri="{FF2B5EF4-FFF2-40B4-BE49-F238E27FC236}">
              <a16:creationId xmlns="" xmlns:a16="http://schemas.microsoft.com/office/drawing/2014/main" id="{EF4D1D3B-AB4C-43E5-91E4-EDC3DB41C6C3}"/>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73" name="Text Box 133">
          <a:extLst>
            <a:ext uri="{FF2B5EF4-FFF2-40B4-BE49-F238E27FC236}">
              <a16:creationId xmlns="" xmlns:a16="http://schemas.microsoft.com/office/drawing/2014/main" id="{9D1107C0-9A12-4141-AD79-D7143EECD8B3}"/>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74" name="Text Box 134">
          <a:extLst>
            <a:ext uri="{FF2B5EF4-FFF2-40B4-BE49-F238E27FC236}">
              <a16:creationId xmlns="" xmlns:a16="http://schemas.microsoft.com/office/drawing/2014/main" id="{2265D900-0FC6-41D9-BEB3-BC3CE1462FA7}"/>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75" name="Text Box 135">
          <a:extLst>
            <a:ext uri="{FF2B5EF4-FFF2-40B4-BE49-F238E27FC236}">
              <a16:creationId xmlns="" xmlns:a16="http://schemas.microsoft.com/office/drawing/2014/main" id="{6AC81CE8-7C70-4FE9-BD9C-C5FC8FD93710}"/>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76" name="Text Box 136">
          <a:extLst>
            <a:ext uri="{FF2B5EF4-FFF2-40B4-BE49-F238E27FC236}">
              <a16:creationId xmlns="" xmlns:a16="http://schemas.microsoft.com/office/drawing/2014/main" id="{657CF130-4ACB-46E9-8E12-C06A4C3F7F58}"/>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77" name="Text Box 137">
          <a:extLst>
            <a:ext uri="{FF2B5EF4-FFF2-40B4-BE49-F238E27FC236}">
              <a16:creationId xmlns="" xmlns:a16="http://schemas.microsoft.com/office/drawing/2014/main" id="{939ECD78-A442-42AD-8BCC-02D089FA75B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78" name="Text Box 138">
          <a:extLst>
            <a:ext uri="{FF2B5EF4-FFF2-40B4-BE49-F238E27FC236}">
              <a16:creationId xmlns="" xmlns:a16="http://schemas.microsoft.com/office/drawing/2014/main" id="{E18DFA91-78DA-43E7-960A-4F75F5A13E4C}"/>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79" name="Text Box 139">
          <a:extLst>
            <a:ext uri="{FF2B5EF4-FFF2-40B4-BE49-F238E27FC236}">
              <a16:creationId xmlns="" xmlns:a16="http://schemas.microsoft.com/office/drawing/2014/main" id="{15978C2B-20C4-410D-B3D1-1A04DFB0E946}"/>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80" name="Text Box 140">
          <a:extLst>
            <a:ext uri="{FF2B5EF4-FFF2-40B4-BE49-F238E27FC236}">
              <a16:creationId xmlns="" xmlns:a16="http://schemas.microsoft.com/office/drawing/2014/main" id="{798122F4-E856-4521-AE83-FDCA6EDB0C5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81" name="Text Box 141">
          <a:extLst>
            <a:ext uri="{FF2B5EF4-FFF2-40B4-BE49-F238E27FC236}">
              <a16:creationId xmlns="" xmlns:a16="http://schemas.microsoft.com/office/drawing/2014/main" id="{A07D5AFD-44FE-4B61-9A16-C32716F6A257}"/>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982" name="Text Box 142">
          <a:extLst>
            <a:ext uri="{FF2B5EF4-FFF2-40B4-BE49-F238E27FC236}">
              <a16:creationId xmlns="" xmlns:a16="http://schemas.microsoft.com/office/drawing/2014/main" id="{F5C38F63-C0A0-435C-A113-A07D516FB0C2}"/>
            </a:ext>
          </a:extLst>
        </xdr:cNvPr>
        <xdr:cNvSpPr txBox="1">
          <a:spLocks noChangeArrowheads="1"/>
        </xdr:cNvSpPr>
      </xdr:nvSpPr>
      <xdr:spPr bwMode="auto">
        <a:xfrm>
          <a:off x="2008822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1925"/>
    <xdr:sp macro="" textlink="">
      <xdr:nvSpPr>
        <xdr:cNvPr id="983" name="Text Box 143">
          <a:extLst>
            <a:ext uri="{FF2B5EF4-FFF2-40B4-BE49-F238E27FC236}">
              <a16:creationId xmlns="" xmlns:a16="http://schemas.microsoft.com/office/drawing/2014/main" id="{0AF965D4-5441-4F4B-802D-1EB2B6C25273}"/>
            </a:ext>
          </a:extLst>
        </xdr:cNvPr>
        <xdr:cNvSpPr txBox="1">
          <a:spLocks noChangeArrowheads="1"/>
        </xdr:cNvSpPr>
      </xdr:nvSpPr>
      <xdr:spPr bwMode="auto">
        <a:xfrm>
          <a:off x="20088225"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61925"/>
    <xdr:sp macro="" textlink="">
      <xdr:nvSpPr>
        <xdr:cNvPr id="984" name="Text Box 144">
          <a:extLst>
            <a:ext uri="{FF2B5EF4-FFF2-40B4-BE49-F238E27FC236}">
              <a16:creationId xmlns="" xmlns:a16="http://schemas.microsoft.com/office/drawing/2014/main" id="{3D28F600-03C1-4B07-91C0-91E469EE49D9}"/>
            </a:ext>
          </a:extLst>
        </xdr:cNvPr>
        <xdr:cNvSpPr txBox="1">
          <a:spLocks noChangeArrowheads="1"/>
        </xdr:cNvSpPr>
      </xdr:nvSpPr>
      <xdr:spPr bwMode="auto">
        <a:xfrm>
          <a:off x="20088225" y="733806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985" name="Text Box 145">
          <a:extLst>
            <a:ext uri="{FF2B5EF4-FFF2-40B4-BE49-F238E27FC236}">
              <a16:creationId xmlns="" xmlns:a16="http://schemas.microsoft.com/office/drawing/2014/main" id="{CAA88C9D-D722-437E-A160-BE419CD80844}"/>
            </a:ext>
          </a:extLst>
        </xdr:cNvPr>
        <xdr:cNvSpPr txBox="1">
          <a:spLocks noChangeArrowheads="1"/>
        </xdr:cNvSpPr>
      </xdr:nvSpPr>
      <xdr:spPr bwMode="auto">
        <a:xfrm>
          <a:off x="20088225" y="733806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986" name="Text Box 147">
          <a:extLst>
            <a:ext uri="{FF2B5EF4-FFF2-40B4-BE49-F238E27FC236}">
              <a16:creationId xmlns="" xmlns:a16="http://schemas.microsoft.com/office/drawing/2014/main" id="{CAF77348-D4F4-45F0-AE80-A9E29BB29825}"/>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987" name="Text Box 148">
          <a:extLst>
            <a:ext uri="{FF2B5EF4-FFF2-40B4-BE49-F238E27FC236}">
              <a16:creationId xmlns="" xmlns:a16="http://schemas.microsoft.com/office/drawing/2014/main" id="{294C48ED-941F-4CF7-8D9E-09B450F5A371}"/>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988" name="Text Box 149">
          <a:extLst>
            <a:ext uri="{FF2B5EF4-FFF2-40B4-BE49-F238E27FC236}">
              <a16:creationId xmlns="" xmlns:a16="http://schemas.microsoft.com/office/drawing/2014/main" id="{3D8B91CA-37D6-4420-A213-792A6DBADF72}"/>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71450"/>
    <xdr:sp macro="" textlink="">
      <xdr:nvSpPr>
        <xdr:cNvPr id="989" name="Text Box 150">
          <a:extLst>
            <a:ext uri="{FF2B5EF4-FFF2-40B4-BE49-F238E27FC236}">
              <a16:creationId xmlns="" xmlns:a16="http://schemas.microsoft.com/office/drawing/2014/main" id="{1A1E6A82-BD85-4005-AC9E-10B5B05ADC5D}"/>
            </a:ext>
          </a:extLst>
        </xdr:cNvPr>
        <xdr:cNvSpPr txBox="1">
          <a:spLocks noChangeArrowheads="1"/>
        </xdr:cNvSpPr>
      </xdr:nvSpPr>
      <xdr:spPr bwMode="auto">
        <a:xfrm>
          <a:off x="20088225" y="733806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90" name="Text Box 151">
          <a:extLst>
            <a:ext uri="{FF2B5EF4-FFF2-40B4-BE49-F238E27FC236}">
              <a16:creationId xmlns="" xmlns:a16="http://schemas.microsoft.com/office/drawing/2014/main" id="{AA75DEA5-96FD-4C31-8855-DC4F1F0F9C3B}"/>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91" name="Text Box 152">
          <a:extLst>
            <a:ext uri="{FF2B5EF4-FFF2-40B4-BE49-F238E27FC236}">
              <a16:creationId xmlns="" xmlns:a16="http://schemas.microsoft.com/office/drawing/2014/main" id="{D986E279-5174-4D8B-ABD0-01DB931FA0BD}"/>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92" name="Text Box 153">
          <a:extLst>
            <a:ext uri="{FF2B5EF4-FFF2-40B4-BE49-F238E27FC236}">
              <a16:creationId xmlns="" xmlns:a16="http://schemas.microsoft.com/office/drawing/2014/main" id="{EDBC38F2-8EF6-4AA9-B7D2-B6B26386F015}"/>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93" name="Text Box 154">
          <a:extLst>
            <a:ext uri="{FF2B5EF4-FFF2-40B4-BE49-F238E27FC236}">
              <a16:creationId xmlns="" xmlns:a16="http://schemas.microsoft.com/office/drawing/2014/main" id="{2B29B327-340B-477B-8733-1426797FE265}"/>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94" name="Text Box 155">
          <a:extLst>
            <a:ext uri="{FF2B5EF4-FFF2-40B4-BE49-F238E27FC236}">
              <a16:creationId xmlns="" xmlns:a16="http://schemas.microsoft.com/office/drawing/2014/main" id="{18631FE5-5DDA-4853-B512-E2944CB498CA}"/>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95" name="Text Box 156">
          <a:extLst>
            <a:ext uri="{FF2B5EF4-FFF2-40B4-BE49-F238E27FC236}">
              <a16:creationId xmlns="" xmlns:a16="http://schemas.microsoft.com/office/drawing/2014/main" id="{0C9C8CD7-76F5-4E3D-9599-7134E87401D1}"/>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96" name="Text Box 157">
          <a:extLst>
            <a:ext uri="{FF2B5EF4-FFF2-40B4-BE49-F238E27FC236}">
              <a16:creationId xmlns="" xmlns:a16="http://schemas.microsoft.com/office/drawing/2014/main" id="{3EA261F0-9D59-4059-BD00-8216EBF34EFC}"/>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180975"/>
    <xdr:sp macro="" textlink="">
      <xdr:nvSpPr>
        <xdr:cNvPr id="997" name="Text Box 158">
          <a:extLst>
            <a:ext uri="{FF2B5EF4-FFF2-40B4-BE49-F238E27FC236}">
              <a16:creationId xmlns="" xmlns:a16="http://schemas.microsoft.com/office/drawing/2014/main" id="{5F9BC36B-FE30-43BB-8DAD-1DED387106A0}"/>
            </a:ext>
          </a:extLst>
        </xdr:cNvPr>
        <xdr:cNvSpPr txBox="1">
          <a:spLocks noChangeArrowheads="1"/>
        </xdr:cNvSpPr>
      </xdr:nvSpPr>
      <xdr:spPr bwMode="auto">
        <a:xfrm>
          <a:off x="20088225" y="733806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98" name="Text Box 214">
          <a:extLst>
            <a:ext uri="{FF2B5EF4-FFF2-40B4-BE49-F238E27FC236}">
              <a16:creationId xmlns="" xmlns:a16="http://schemas.microsoft.com/office/drawing/2014/main" id="{9EC4C78A-F71A-4474-959A-18D4E071DB7C}"/>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13632"/>
    <xdr:sp macro="" textlink="">
      <xdr:nvSpPr>
        <xdr:cNvPr id="999" name="Text Box 215">
          <a:extLst>
            <a:ext uri="{FF2B5EF4-FFF2-40B4-BE49-F238E27FC236}">
              <a16:creationId xmlns="" xmlns:a16="http://schemas.microsoft.com/office/drawing/2014/main" id="{B230BE77-3D98-44A2-8C79-377D1C8F4C78}"/>
            </a:ext>
          </a:extLst>
        </xdr:cNvPr>
        <xdr:cNvSpPr txBox="1">
          <a:spLocks noChangeArrowheads="1"/>
        </xdr:cNvSpPr>
      </xdr:nvSpPr>
      <xdr:spPr bwMode="auto">
        <a:xfrm>
          <a:off x="20088225" y="733806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00" name="Text Box 277023">
          <a:extLst>
            <a:ext uri="{FF2B5EF4-FFF2-40B4-BE49-F238E27FC236}">
              <a16:creationId xmlns="" xmlns:a16="http://schemas.microsoft.com/office/drawing/2014/main" id="{A5703859-5A60-4F40-AD90-9C89DF371CC0}"/>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01" name="Text Box 277024">
          <a:extLst>
            <a:ext uri="{FF2B5EF4-FFF2-40B4-BE49-F238E27FC236}">
              <a16:creationId xmlns="" xmlns:a16="http://schemas.microsoft.com/office/drawing/2014/main" id="{01D7260D-A9B5-45F1-91B6-11EA80413AC9}"/>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02" name="Text Box 277025">
          <a:extLst>
            <a:ext uri="{FF2B5EF4-FFF2-40B4-BE49-F238E27FC236}">
              <a16:creationId xmlns="" xmlns:a16="http://schemas.microsoft.com/office/drawing/2014/main" id="{71F5885D-20B4-4FDB-8A3B-43A4B87DC5C1}"/>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03" name="Text Box 277026">
          <a:extLst>
            <a:ext uri="{FF2B5EF4-FFF2-40B4-BE49-F238E27FC236}">
              <a16:creationId xmlns="" xmlns:a16="http://schemas.microsoft.com/office/drawing/2014/main" id="{58AC2707-468E-4EC6-8609-1C58E19740A1}"/>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04" name="Text Box 198">
          <a:extLst>
            <a:ext uri="{FF2B5EF4-FFF2-40B4-BE49-F238E27FC236}">
              <a16:creationId xmlns="" xmlns:a16="http://schemas.microsoft.com/office/drawing/2014/main" id="{01095AC9-7E46-4FB2-BEC3-9C3049AE0EC9}"/>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05" name="Text Box 199">
          <a:extLst>
            <a:ext uri="{FF2B5EF4-FFF2-40B4-BE49-F238E27FC236}">
              <a16:creationId xmlns="" xmlns:a16="http://schemas.microsoft.com/office/drawing/2014/main" id="{21756FDE-72EB-44A3-BE2E-7B0B484689BF}"/>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06" name="Text Box 208">
          <a:extLst>
            <a:ext uri="{FF2B5EF4-FFF2-40B4-BE49-F238E27FC236}">
              <a16:creationId xmlns="" xmlns:a16="http://schemas.microsoft.com/office/drawing/2014/main" id="{A07C4CF8-503B-4F14-BB61-3D805A34D91C}"/>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07" name="Text Box 209">
          <a:extLst>
            <a:ext uri="{FF2B5EF4-FFF2-40B4-BE49-F238E27FC236}">
              <a16:creationId xmlns="" xmlns:a16="http://schemas.microsoft.com/office/drawing/2014/main" id="{FA6BCBA6-F00D-4D43-9118-A0B08E8F12B9}"/>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08" name="Text Box 210">
          <a:extLst>
            <a:ext uri="{FF2B5EF4-FFF2-40B4-BE49-F238E27FC236}">
              <a16:creationId xmlns="" xmlns:a16="http://schemas.microsoft.com/office/drawing/2014/main" id="{EE59289F-4CF8-4950-9537-D8BF482BDCAC}"/>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09" name="Text Box 211">
          <a:extLst>
            <a:ext uri="{FF2B5EF4-FFF2-40B4-BE49-F238E27FC236}">
              <a16:creationId xmlns="" xmlns:a16="http://schemas.microsoft.com/office/drawing/2014/main" id="{6DB02B9C-DC2C-4412-ADAA-958F3068551A}"/>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10" name="Text Box 43">
          <a:extLst>
            <a:ext uri="{FF2B5EF4-FFF2-40B4-BE49-F238E27FC236}">
              <a16:creationId xmlns="" xmlns:a16="http://schemas.microsoft.com/office/drawing/2014/main" id="{CBE51085-38BC-45D9-A1D1-F676E484FD12}"/>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11" name="Text Box 45">
          <a:extLst>
            <a:ext uri="{FF2B5EF4-FFF2-40B4-BE49-F238E27FC236}">
              <a16:creationId xmlns="" xmlns:a16="http://schemas.microsoft.com/office/drawing/2014/main" id="{0B27AC5A-D337-4AD2-AAB3-C287480B578C}"/>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12" name="Text Box 47">
          <a:extLst>
            <a:ext uri="{FF2B5EF4-FFF2-40B4-BE49-F238E27FC236}">
              <a16:creationId xmlns="" xmlns:a16="http://schemas.microsoft.com/office/drawing/2014/main" id="{3E0D1A2B-534F-43FB-B3B9-BBFB1E378908}"/>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13" name="Text Box 48">
          <a:extLst>
            <a:ext uri="{FF2B5EF4-FFF2-40B4-BE49-F238E27FC236}">
              <a16:creationId xmlns="" xmlns:a16="http://schemas.microsoft.com/office/drawing/2014/main" id="{D2A9E4A4-D820-45D6-B4BE-D7C694968ED6}"/>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96911"/>
    <xdr:sp macro="" textlink="">
      <xdr:nvSpPr>
        <xdr:cNvPr id="1014" name="Text Box 394">
          <a:extLst>
            <a:ext uri="{FF2B5EF4-FFF2-40B4-BE49-F238E27FC236}">
              <a16:creationId xmlns="" xmlns:a16="http://schemas.microsoft.com/office/drawing/2014/main" id="{F35E3A7C-16F9-4970-B262-3A595873CD85}"/>
            </a:ext>
          </a:extLst>
        </xdr:cNvPr>
        <xdr:cNvSpPr txBox="1">
          <a:spLocks noChangeArrowheads="1"/>
        </xdr:cNvSpPr>
      </xdr:nvSpPr>
      <xdr:spPr bwMode="auto">
        <a:xfrm>
          <a:off x="19030950" y="73380600"/>
          <a:ext cx="76200" cy="2496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96911"/>
    <xdr:sp macro="" textlink="">
      <xdr:nvSpPr>
        <xdr:cNvPr id="1015" name="Text Box 395">
          <a:extLst>
            <a:ext uri="{FF2B5EF4-FFF2-40B4-BE49-F238E27FC236}">
              <a16:creationId xmlns="" xmlns:a16="http://schemas.microsoft.com/office/drawing/2014/main" id="{74F5C98D-1775-4281-916D-D46FE5470B60}"/>
            </a:ext>
          </a:extLst>
        </xdr:cNvPr>
        <xdr:cNvSpPr txBox="1">
          <a:spLocks noChangeArrowheads="1"/>
        </xdr:cNvSpPr>
      </xdr:nvSpPr>
      <xdr:spPr bwMode="auto">
        <a:xfrm>
          <a:off x="19030950" y="73380600"/>
          <a:ext cx="76200" cy="2496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96911"/>
    <xdr:sp macro="" textlink="">
      <xdr:nvSpPr>
        <xdr:cNvPr id="1016" name="Text Box 396">
          <a:extLst>
            <a:ext uri="{FF2B5EF4-FFF2-40B4-BE49-F238E27FC236}">
              <a16:creationId xmlns="" xmlns:a16="http://schemas.microsoft.com/office/drawing/2014/main" id="{8904FCD8-2440-4AD2-AE52-047E44614B57}"/>
            </a:ext>
          </a:extLst>
        </xdr:cNvPr>
        <xdr:cNvSpPr txBox="1">
          <a:spLocks noChangeArrowheads="1"/>
        </xdr:cNvSpPr>
      </xdr:nvSpPr>
      <xdr:spPr bwMode="auto">
        <a:xfrm>
          <a:off x="19030950" y="73380600"/>
          <a:ext cx="76200" cy="2496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96911"/>
    <xdr:sp macro="" textlink="">
      <xdr:nvSpPr>
        <xdr:cNvPr id="1017" name="Text Box 397">
          <a:extLst>
            <a:ext uri="{FF2B5EF4-FFF2-40B4-BE49-F238E27FC236}">
              <a16:creationId xmlns="" xmlns:a16="http://schemas.microsoft.com/office/drawing/2014/main" id="{4FAD4A94-589A-49D5-A3D6-B649A0AE7BAF}"/>
            </a:ext>
          </a:extLst>
        </xdr:cNvPr>
        <xdr:cNvSpPr txBox="1">
          <a:spLocks noChangeArrowheads="1"/>
        </xdr:cNvSpPr>
      </xdr:nvSpPr>
      <xdr:spPr bwMode="auto">
        <a:xfrm>
          <a:off x="19030950" y="73380600"/>
          <a:ext cx="76200" cy="24969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18" name="Text Box 43">
          <a:extLst>
            <a:ext uri="{FF2B5EF4-FFF2-40B4-BE49-F238E27FC236}">
              <a16:creationId xmlns="" xmlns:a16="http://schemas.microsoft.com/office/drawing/2014/main" id="{E4DBACC1-3870-473A-B794-348D89A67F67}"/>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19" name="Text Box 45">
          <a:extLst>
            <a:ext uri="{FF2B5EF4-FFF2-40B4-BE49-F238E27FC236}">
              <a16:creationId xmlns="" xmlns:a16="http://schemas.microsoft.com/office/drawing/2014/main" id="{D71C9E31-BCAE-41BC-9268-20ACE366309D}"/>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20" name="Text Box 47">
          <a:extLst>
            <a:ext uri="{FF2B5EF4-FFF2-40B4-BE49-F238E27FC236}">
              <a16:creationId xmlns="" xmlns:a16="http://schemas.microsoft.com/office/drawing/2014/main" id="{AC70C478-6DFD-46E6-842C-194B2E5F8EBF}"/>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21" name="Text Box 48">
          <a:extLst>
            <a:ext uri="{FF2B5EF4-FFF2-40B4-BE49-F238E27FC236}">
              <a16:creationId xmlns="" xmlns:a16="http://schemas.microsoft.com/office/drawing/2014/main" id="{A3F3C5BB-D22B-4199-ABC6-2280C0C4BFE2}"/>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351440"/>
    <xdr:sp macro="" textlink="">
      <xdr:nvSpPr>
        <xdr:cNvPr id="1022" name="Text Box 607">
          <a:extLst>
            <a:ext uri="{FF2B5EF4-FFF2-40B4-BE49-F238E27FC236}">
              <a16:creationId xmlns="" xmlns:a16="http://schemas.microsoft.com/office/drawing/2014/main" id="{2DD89D5E-3381-4C16-9EAD-A7AE6D3E5BF4}"/>
            </a:ext>
          </a:extLst>
        </xdr:cNvPr>
        <xdr:cNvSpPr txBox="1">
          <a:spLocks noChangeArrowheads="1"/>
        </xdr:cNvSpPr>
      </xdr:nvSpPr>
      <xdr:spPr bwMode="auto">
        <a:xfrm>
          <a:off x="19030950" y="73380600"/>
          <a:ext cx="76200" cy="335144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351440"/>
    <xdr:sp macro="" textlink="">
      <xdr:nvSpPr>
        <xdr:cNvPr id="1023" name="Text Box 608">
          <a:extLst>
            <a:ext uri="{FF2B5EF4-FFF2-40B4-BE49-F238E27FC236}">
              <a16:creationId xmlns="" xmlns:a16="http://schemas.microsoft.com/office/drawing/2014/main" id="{743A640D-E63F-4ABF-A8DB-73949707AD7D}"/>
            </a:ext>
          </a:extLst>
        </xdr:cNvPr>
        <xdr:cNvSpPr txBox="1">
          <a:spLocks noChangeArrowheads="1"/>
        </xdr:cNvSpPr>
      </xdr:nvSpPr>
      <xdr:spPr bwMode="auto">
        <a:xfrm>
          <a:off x="19030950" y="73380600"/>
          <a:ext cx="76200" cy="335144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5961"/>
    <xdr:sp macro="" textlink="">
      <xdr:nvSpPr>
        <xdr:cNvPr id="1024" name="Text Box 617">
          <a:extLst>
            <a:ext uri="{FF2B5EF4-FFF2-40B4-BE49-F238E27FC236}">
              <a16:creationId xmlns="" xmlns:a16="http://schemas.microsoft.com/office/drawing/2014/main" id="{D31B2B81-C9F7-43CB-9C23-EE4D257AC947}"/>
            </a:ext>
          </a:extLst>
        </xdr:cNvPr>
        <xdr:cNvSpPr txBox="1">
          <a:spLocks noChangeArrowheads="1"/>
        </xdr:cNvSpPr>
      </xdr:nvSpPr>
      <xdr:spPr bwMode="auto">
        <a:xfrm>
          <a:off x="19030950" y="73380600"/>
          <a:ext cx="76200" cy="251596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5961"/>
    <xdr:sp macro="" textlink="">
      <xdr:nvSpPr>
        <xdr:cNvPr id="1025" name="Text Box 618">
          <a:extLst>
            <a:ext uri="{FF2B5EF4-FFF2-40B4-BE49-F238E27FC236}">
              <a16:creationId xmlns="" xmlns:a16="http://schemas.microsoft.com/office/drawing/2014/main" id="{5E341D19-A83D-450D-AD4E-9839EDAB8F10}"/>
            </a:ext>
          </a:extLst>
        </xdr:cNvPr>
        <xdr:cNvSpPr txBox="1">
          <a:spLocks noChangeArrowheads="1"/>
        </xdr:cNvSpPr>
      </xdr:nvSpPr>
      <xdr:spPr bwMode="auto">
        <a:xfrm>
          <a:off x="19030950" y="73380600"/>
          <a:ext cx="76200" cy="251596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5961"/>
    <xdr:sp macro="" textlink="">
      <xdr:nvSpPr>
        <xdr:cNvPr id="1026" name="Text Box 619">
          <a:extLst>
            <a:ext uri="{FF2B5EF4-FFF2-40B4-BE49-F238E27FC236}">
              <a16:creationId xmlns="" xmlns:a16="http://schemas.microsoft.com/office/drawing/2014/main" id="{1599D106-1D6B-454B-A589-B776099BCFA7}"/>
            </a:ext>
          </a:extLst>
        </xdr:cNvPr>
        <xdr:cNvSpPr txBox="1">
          <a:spLocks noChangeArrowheads="1"/>
        </xdr:cNvSpPr>
      </xdr:nvSpPr>
      <xdr:spPr bwMode="auto">
        <a:xfrm>
          <a:off x="19030950" y="73380600"/>
          <a:ext cx="76200" cy="251596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5961"/>
    <xdr:sp macro="" textlink="">
      <xdr:nvSpPr>
        <xdr:cNvPr id="1027" name="Text Box 620">
          <a:extLst>
            <a:ext uri="{FF2B5EF4-FFF2-40B4-BE49-F238E27FC236}">
              <a16:creationId xmlns="" xmlns:a16="http://schemas.microsoft.com/office/drawing/2014/main" id="{C4B6A758-D4C1-40FB-8A1C-B9C8F6A34235}"/>
            </a:ext>
          </a:extLst>
        </xdr:cNvPr>
        <xdr:cNvSpPr txBox="1">
          <a:spLocks noChangeArrowheads="1"/>
        </xdr:cNvSpPr>
      </xdr:nvSpPr>
      <xdr:spPr bwMode="auto">
        <a:xfrm>
          <a:off x="19030950" y="73380600"/>
          <a:ext cx="76200" cy="251596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35011"/>
    <xdr:sp macro="" textlink="">
      <xdr:nvSpPr>
        <xdr:cNvPr id="1028" name="Text Box 43">
          <a:extLst>
            <a:ext uri="{FF2B5EF4-FFF2-40B4-BE49-F238E27FC236}">
              <a16:creationId xmlns="" xmlns:a16="http://schemas.microsoft.com/office/drawing/2014/main" id="{D92CFDE5-04A8-4676-85B6-5B2A9BF4B2B4}"/>
            </a:ext>
          </a:extLst>
        </xdr:cNvPr>
        <xdr:cNvSpPr txBox="1">
          <a:spLocks noChangeArrowheads="1"/>
        </xdr:cNvSpPr>
      </xdr:nvSpPr>
      <xdr:spPr bwMode="auto">
        <a:xfrm>
          <a:off x="19030950" y="73380600"/>
          <a:ext cx="76200" cy="25350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35011"/>
    <xdr:sp macro="" textlink="">
      <xdr:nvSpPr>
        <xdr:cNvPr id="1029" name="Text Box 45">
          <a:extLst>
            <a:ext uri="{FF2B5EF4-FFF2-40B4-BE49-F238E27FC236}">
              <a16:creationId xmlns="" xmlns:a16="http://schemas.microsoft.com/office/drawing/2014/main" id="{0AF407AB-A49F-4B5A-86E6-A02845E0FA6A}"/>
            </a:ext>
          </a:extLst>
        </xdr:cNvPr>
        <xdr:cNvSpPr txBox="1">
          <a:spLocks noChangeArrowheads="1"/>
        </xdr:cNvSpPr>
      </xdr:nvSpPr>
      <xdr:spPr bwMode="auto">
        <a:xfrm>
          <a:off x="19030950" y="73380600"/>
          <a:ext cx="76200" cy="25350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35011"/>
    <xdr:sp macro="" textlink="">
      <xdr:nvSpPr>
        <xdr:cNvPr id="1030" name="Text Box 47">
          <a:extLst>
            <a:ext uri="{FF2B5EF4-FFF2-40B4-BE49-F238E27FC236}">
              <a16:creationId xmlns="" xmlns:a16="http://schemas.microsoft.com/office/drawing/2014/main" id="{4D2343BC-E7EB-4E17-912E-2F41C660637E}"/>
            </a:ext>
          </a:extLst>
        </xdr:cNvPr>
        <xdr:cNvSpPr txBox="1">
          <a:spLocks noChangeArrowheads="1"/>
        </xdr:cNvSpPr>
      </xdr:nvSpPr>
      <xdr:spPr bwMode="auto">
        <a:xfrm>
          <a:off x="19030950" y="73380600"/>
          <a:ext cx="76200" cy="25350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35011"/>
    <xdr:sp macro="" textlink="">
      <xdr:nvSpPr>
        <xdr:cNvPr id="1031" name="Text Box 48">
          <a:extLst>
            <a:ext uri="{FF2B5EF4-FFF2-40B4-BE49-F238E27FC236}">
              <a16:creationId xmlns="" xmlns:a16="http://schemas.microsoft.com/office/drawing/2014/main" id="{BFF50FEF-55C8-4C06-AC20-17E345111C9C}"/>
            </a:ext>
          </a:extLst>
        </xdr:cNvPr>
        <xdr:cNvSpPr txBox="1">
          <a:spLocks noChangeArrowheads="1"/>
        </xdr:cNvSpPr>
      </xdr:nvSpPr>
      <xdr:spPr bwMode="auto">
        <a:xfrm>
          <a:off x="19030950" y="73380600"/>
          <a:ext cx="76200" cy="253501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4343400"/>
    <xdr:sp macro="" textlink="">
      <xdr:nvSpPr>
        <xdr:cNvPr id="1032" name="Text Box 803">
          <a:extLst>
            <a:ext uri="{FF2B5EF4-FFF2-40B4-BE49-F238E27FC236}">
              <a16:creationId xmlns="" xmlns:a16="http://schemas.microsoft.com/office/drawing/2014/main" id="{FB484C30-D063-4016-A32F-92CCA4EF2F35}"/>
            </a:ext>
          </a:extLst>
        </xdr:cNvPr>
        <xdr:cNvSpPr txBox="1">
          <a:spLocks noChangeArrowheads="1"/>
        </xdr:cNvSpPr>
      </xdr:nvSpPr>
      <xdr:spPr bwMode="auto">
        <a:xfrm>
          <a:off x="19030950" y="73380600"/>
          <a:ext cx="76200" cy="434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61925"/>
    <xdr:sp macro="" textlink="">
      <xdr:nvSpPr>
        <xdr:cNvPr id="1033" name="Text Box 804">
          <a:extLst>
            <a:ext uri="{FF2B5EF4-FFF2-40B4-BE49-F238E27FC236}">
              <a16:creationId xmlns="" xmlns:a16="http://schemas.microsoft.com/office/drawing/2014/main" id="{2508F8F9-1F99-4613-958F-30239CB52CE7}"/>
            </a:ext>
          </a:extLst>
        </xdr:cNvPr>
        <xdr:cNvSpPr txBox="1">
          <a:spLocks noChangeArrowheads="1"/>
        </xdr:cNvSpPr>
      </xdr:nvSpPr>
      <xdr:spPr bwMode="auto">
        <a:xfrm>
          <a:off x="19030950" y="73380600"/>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52400"/>
    <xdr:sp macro="" textlink="">
      <xdr:nvSpPr>
        <xdr:cNvPr id="1034" name="Text Box 804">
          <a:extLst>
            <a:ext uri="{FF2B5EF4-FFF2-40B4-BE49-F238E27FC236}">
              <a16:creationId xmlns="" xmlns:a16="http://schemas.microsoft.com/office/drawing/2014/main" id="{CC7B985F-47EE-4C1D-9A08-E3836A4170C7}"/>
            </a:ext>
          </a:extLst>
        </xdr:cNvPr>
        <xdr:cNvSpPr txBox="1">
          <a:spLocks noChangeArrowheads="1"/>
        </xdr:cNvSpPr>
      </xdr:nvSpPr>
      <xdr:spPr bwMode="auto">
        <a:xfrm>
          <a:off x="19030950" y="733806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35" name="Text Box 277747">
          <a:extLst>
            <a:ext uri="{FF2B5EF4-FFF2-40B4-BE49-F238E27FC236}">
              <a16:creationId xmlns="" xmlns:a16="http://schemas.microsoft.com/office/drawing/2014/main" id="{AA7CF5B0-BE97-4D22-B827-475C3D913823}"/>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36" name="Text Box 277748">
          <a:extLst>
            <a:ext uri="{FF2B5EF4-FFF2-40B4-BE49-F238E27FC236}">
              <a16:creationId xmlns="" xmlns:a16="http://schemas.microsoft.com/office/drawing/2014/main" id="{C076158E-D22E-4C95-A54C-5AB88A59CBF9}"/>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37" name="Text Box 277749">
          <a:extLst>
            <a:ext uri="{FF2B5EF4-FFF2-40B4-BE49-F238E27FC236}">
              <a16:creationId xmlns="" xmlns:a16="http://schemas.microsoft.com/office/drawing/2014/main" id="{97BA20A6-DB7A-44B9-A2D9-61A02BD2BD17}"/>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38" name="Text Box 277750">
          <a:extLst>
            <a:ext uri="{FF2B5EF4-FFF2-40B4-BE49-F238E27FC236}">
              <a16:creationId xmlns="" xmlns:a16="http://schemas.microsoft.com/office/drawing/2014/main" id="{69748CB7-0537-4374-9D6B-4B202669A0AF}"/>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39" name="Text Box 277023">
          <a:extLst>
            <a:ext uri="{FF2B5EF4-FFF2-40B4-BE49-F238E27FC236}">
              <a16:creationId xmlns="" xmlns:a16="http://schemas.microsoft.com/office/drawing/2014/main" id="{2E197BDC-8A3F-4771-90D1-461F57293808}"/>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40" name="Text Box 277024">
          <a:extLst>
            <a:ext uri="{FF2B5EF4-FFF2-40B4-BE49-F238E27FC236}">
              <a16:creationId xmlns="" xmlns:a16="http://schemas.microsoft.com/office/drawing/2014/main" id="{5D47810A-B9EF-42DA-BD9B-945842CC67E4}"/>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41" name="Text Box 277025">
          <a:extLst>
            <a:ext uri="{FF2B5EF4-FFF2-40B4-BE49-F238E27FC236}">
              <a16:creationId xmlns="" xmlns:a16="http://schemas.microsoft.com/office/drawing/2014/main" id="{12DE1BA2-7056-4A4F-A58F-AA93A0BBFC8D}"/>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42" name="Text Box 277026">
          <a:extLst>
            <a:ext uri="{FF2B5EF4-FFF2-40B4-BE49-F238E27FC236}">
              <a16:creationId xmlns="" xmlns:a16="http://schemas.microsoft.com/office/drawing/2014/main" id="{9FE943A4-5649-4A2F-8B2E-EA3EBC252554}"/>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43" name="Text Box 198">
          <a:extLst>
            <a:ext uri="{FF2B5EF4-FFF2-40B4-BE49-F238E27FC236}">
              <a16:creationId xmlns="" xmlns:a16="http://schemas.microsoft.com/office/drawing/2014/main" id="{3A0C84C0-0474-43C6-95BA-2D618017818E}"/>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44" name="Text Box 199">
          <a:extLst>
            <a:ext uri="{FF2B5EF4-FFF2-40B4-BE49-F238E27FC236}">
              <a16:creationId xmlns="" xmlns:a16="http://schemas.microsoft.com/office/drawing/2014/main" id="{2A682B35-524F-4904-93A5-44E9FA906601}"/>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45" name="Text Box 208">
          <a:extLst>
            <a:ext uri="{FF2B5EF4-FFF2-40B4-BE49-F238E27FC236}">
              <a16:creationId xmlns="" xmlns:a16="http://schemas.microsoft.com/office/drawing/2014/main" id="{EA34741E-ABAF-47FC-B551-551913FA6BF6}"/>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46" name="Text Box 209">
          <a:extLst>
            <a:ext uri="{FF2B5EF4-FFF2-40B4-BE49-F238E27FC236}">
              <a16:creationId xmlns="" xmlns:a16="http://schemas.microsoft.com/office/drawing/2014/main" id="{AD64CB8E-DA11-4A04-8BDF-7AEDCA99019E}"/>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47" name="Text Box 210">
          <a:extLst>
            <a:ext uri="{FF2B5EF4-FFF2-40B4-BE49-F238E27FC236}">
              <a16:creationId xmlns="" xmlns:a16="http://schemas.microsoft.com/office/drawing/2014/main" id="{C394F4BD-383F-4734-A020-DAFB394BC4D5}"/>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48" name="Text Box 211">
          <a:extLst>
            <a:ext uri="{FF2B5EF4-FFF2-40B4-BE49-F238E27FC236}">
              <a16:creationId xmlns="" xmlns:a16="http://schemas.microsoft.com/office/drawing/2014/main" id="{3B007B3E-945D-4DE2-927F-604CB5CE2420}"/>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49" name="Text Box 43">
          <a:extLst>
            <a:ext uri="{FF2B5EF4-FFF2-40B4-BE49-F238E27FC236}">
              <a16:creationId xmlns="" xmlns:a16="http://schemas.microsoft.com/office/drawing/2014/main" id="{37A4068E-319E-4821-AB56-D6BA33F4EB42}"/>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50" name="Text Box 45">
          <a:extLst>
            <a:ext uri="{FF2B5EF4-FFF2-40B4-BE49-F238E27FC236}">
              <a16:creationId xmlns="" xmlns:a16="http://schemas.microsoft.com/office/drawing/2014/main" id="{9D316F9B-F339-4C85-8B13-25F7B8EC61CE}"/>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51" name="Text Box 47">
          <a:extLst>
            <a:ext uri="{FF2B5EF4-FFF2-40B4-BE49-F238E27FC236}">
              <a16:creationId xmlns="" xmlns:a16="http://schemas.microsoft.com/office/drawing/2014/main" id="{D90CE19F-AD80-42E4-A53E-700D54D7C66B}"/>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52" name="Text Box 48">
          <a:extLst>
            <a:ext uri="{FF2B5EF4-FFF2-40B4-BE49-F238E27FC236}">
              <a16:creationId xmlns="" xmlns:a16="http://schemas.microsoft.com/office/drawing/2014/main" id="{A5FB34A6-A04D-488C-8D7D-D23BA75992A8}"/>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53" name="Text Box 394">
          <a:extLst>
            <a:ext uri="{FF2B5EF4-FFF2-40B4-BE49-F238E27FC236}">
              <a16:creationId xmlns="" xmlns:a16="http://schemas.microsoft.com/office/drawing/2014/main" id="{D9D8130D-E4D1-4396-92B5-A48250BAB60E}"/>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54" name="Text Box 395">
          <a:extLst>
            <a:ext uri="{FF2B5EF4-FFF2-40B4-BE49-F238E27FC236}">
              <a16:creationId xmlns="" xmlns:a16="http://schemas.microsoft.com/office/drawing/2014/main" id="{BB018AFD-000B-41C3-9DC1-77402207D95A}"/>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55" name="Text Box 396">
          <a:extLst>
            <a:ext uri="{FF2B5EF4-FFF2-40B4-BE49-F238E27FC236}">
              <a16:creationId xmlns="" xmlns:a16="http://schemas.microsoft.com/office/drawing/2014/main" id="{8574724C-A711-4B38-A00B-6C15A58D3720}"/>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56" name="Text Box 397">
          <a:extLst>
            <a:ext uri="{FF2B5EF4-FFF2-40B4-BE49-F238E27FC236}">
              <a16:creationId xmlns="" xmlns:a16="http://schemas.microsoft.com/office/drawing/2014/main" id="{95D1031A-BDD4-4478-974C-E9766B8DE31E}"/>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57" name="Text Box 43">
          <a:extLst>
            <a:ext uri="{FF2B5EF4-FFF2-40B4-BE49-F238E27FC236}">
              <a16:creationId xmlns="" xmlns:a16="http://schemas.microsoft.com/office/drawing/2014/main" id="{3CA1F708-1E39-442D-A779-86850DEFE234}"/>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58" name="Text Box 45">
          <a:extLst>
            <a:ext uri="{FF2B5EF4-FFF2-40B4-BE49-F238E27FC236}">
              <a16:creationId xmlns="" xmlns:a16="http://schemas.microsoft.com/office/drawing/2014/main" id="{3EB90485-B2F4-4EBC-96B2-1C5332C17420}"/>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59" name="Text Box 47">
          <a:extLst>
            <a:ext uri="{FF2B5EF4-FFF2-40B4-BE49-F238E27FC236}">
              <a16:creationId xmlns="" xmlns:a16="http://schemas.microsoft.com/office/drawing/2014/main" id="{68B96B14-0512-4BA1-BCC2-984D7DF18B88}"/>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83279"/>
    <xdr:sp macro="" textlink="">
      <xdr:nvSpPr>
        <xdr:cNvPr id="1060" name="Text Box 48">
          <a:extLst>
            <a:ext uri="{FF2B5EF4-FFF2-40B4-BE49-F238E27FC236}">
              <a16:creationId xmlns="" xmlns:a16="http://schemas.microsoft.com/office/drawing/2014/main" id="{4BCD1EEE-F473-4939-97B9-B86AB7F16355}"/>
            </a:ext>
          </a:extLst>
        </xdr:cNvPr>
        <xdr:cNvSpPr txBox="1">
          <a:spLocks noChangeArrowheads="1"/>
        </xdr:cNvSpPr>
      </xdr:nvSpPr>
      <xdr:spPr bwMode="auto">
        <a:xfrm>
          <a:off x="19030950" y="73380600"/>
          <a:ext cx="76200" cy="22832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42582"/>
    <xdr:sp macro="" textlink="">
      <xdr:nvSpPr>
        <xdr:cNvPr id="1061" name="Text Box 607">
          <a:extLst>
            <a:ext uri="{FF2B5EF4-FFF2-40B4-BE49-F238E27FC236}">
              <a16:creationId xmlns="" xmlns:a16="http://schemas.microsoft.com/office/drawing/2014/main" id="{72395CAE-5B88-40D7-A92A-CE2A47731FF7}"/>
            </a:ext>
          </a:extLst>
        </xdr:cNvPr>
        <xdr:cNvSpPr txBox="1">
          <a:spLocks noChangeArrowheads="1"/>
        </xdr:cNvSpPr>
      </xdr:nvSpPr>
      <xdr:spPr bwMode="auto">
        <a:xfrm>
          <a:off x="19030950" y="73380600"/>
          <a:ext cx="76200" cy="32425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42582"/>
    <xdr:sp macro="" textlink="">
      <xdr:nvSpPr>
        <xdr:cNvPr id="1062" name="Text Box 608">
          <a:extLst>
            <a:ext uri="{FF2B5EF4-FFF2-40B4-BE49-F238E27FC236}">
              <a16:creationId xmlns="" xmlns:a16="http://schemas.microsoft.com/office/drawing/2014/main" id="{EB113B67-B095-49D9-808F-98EC3B1FDCED}"/>
            </a:ext>
          </a:extLst>
        </xdr:cNvPr>
        <xdr:cNvSpPr txBox="1">
          <a:spLocks noChangeArrowheads="1"/>
        </xdr:cNvSpPr>
      </xdr:nvSpPr>
      <xdr:spPr bwMode="auto">
        <a:xfrm>
          <a:off x="19030950" y="73380600"/>
          <a:ext cx="76200" cy="32425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63" name="Text Box 617">
          <a:extLst>
            <a:ext uri="{FF2B5EF4-FFF2-40B4-BE49-F238E27FC236}">
              <a16:creationId xmlns="" xmlns:a16="http://schemas.microsoft.com/office/drawing/2014/main" id="{BC4BB4A3-4101-4463-A1D8-62EEE0F612F1}"/>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64" name="Text Box 618">
          <a:extLst>
            <a:ext uri="{FF2B5EF4-FFF2-40B4-BE49-F238E27FC236}">
              <a16:creationId xmlns="" xmlns:a16="http://schemas.microsoft.com/office/drawing/2014/main" id="{40B22179-FAE4-47A1-9930-BBD91617866A}"/>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65" name="Text Box 619">
          <a:extLst>
            <a:ext uri="{FF2B5EF4-FFF2-40B4-BE49-F238E27FC236}">
              <a16:creationId xmlns="" xmlns:a16="http://schemas.microsoft.com/office/drawing/2014/main" id="{6FDC0BDC-76FA-49B4-84DC-EE87889A319F}"/>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66" name="Text Box 620">
          <a:extLst>
            <a:ext uri="{FF2B5EF4-FFF2-40B4-BE49-F238E27FC236}">
              <a16:creationId xmlns="" xmlns:a16="http://schemas.microsoft.com/office/drawing/2014/main" id="{025964B0-C7F5-45D9-A709-2AACA6E65AFC}"/>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67" name="Text Box 43">
          <a:extLst>
            <a:ext uri="{FF2B5EF4-FFF2-40B4-BE49-F238E27FC236}">
              <a16:creationId xmlns="" xmlns:a16="http://schemas.microsoft.com/office/drawing/2014/main" id="{D75A68EA-DBDB-486D-8DC6-3BECF93B9E48}"/>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68" name="Text Box 45">
          <a:extLst>
            <a:ext uri="{FF2B5EF4-FFF2-40B4-BE49-F238E27FC236}">
              <a16:creationId xmlns="" xmlns:a16="http://schemas.microsoft.com/office/drawing/2014/main" id="{DB6CB46A-D21C-4459-8915-D2C8BD9138BE}"/>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69" name="Text Box 47">
          <a:extLst>
            <a:ext uri="{FF2B5EF4-FFF2-40B4-BE49-F238E27FC236}">
              <a16:creationId xmlns="" xmlns:a16="http://schemas.microsoft.com/office/drawing/2014/main" id="{7B956F3A-34ED-4467-AE71-D5E2ED27FB8D}"/>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02329"/>
    <xdr:sp macro="" textlink="">
      <xdr:nvSpPr>
        <xdr:cNvPr id="1070" name="Text Box 48">
          <a:extLst>
            <a:ext uri="{FF2B5EF4-FFF2-40B4-BE49-F238E27FC236}">
              <a16:creationId xmlns="" xmlns:a16="http://schemas.microsoft.com/office/drawing/2014/main" id="{BF0BADC7-BFBE-4773-904A-F429A411845D}"/>
            </a:ext>
          </a:extLst>
        </xdr:cNvPr>
        <xdr:cNvSpPr txBox="1">
          <a:spLocks noChangeArrowheads="1"/>
        </xdr:cNvSpPr>
      </xdr:nvSpPr>
      <xdr:spPr bwMode="auto">
        <a:xfrm>
          <a:off x="19030950" y="73380600"/>
          <a:ext cx="76200" cy="230232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4177393"/>
    <xdr:sp macro="" textlink="">
      <xdr:nvSpPr>
        <xdr:cNvPr id="1071" name="Text Box 803">
          <a:extLst>
            <a:ext uri="{FF2B5EF4-FFF2-40B4-BE49-F238E27FC236}">
              <a16:creationId xmlns="" xmlns:a16="http://schemas.microsoft.com/office/drawing/2014/main" id="{30C93670-D506-45A8-8980-BFB3FBD58104}"/>
            </a:ext>
          </a:extLst>
        </xdr:cNvPr>
        <xdr:cNvSpPr txBox="1">
          <a:spLocks noChangeArrowheads="1"/>
        </xdr:cNvSpPr>
      </xdr:nvSpPr>
      <xdr:spPr bwMode="auto">
        <a:xfrm>
          <a:off x="19030950" y="73380600"/>
          <a:ext cx="76200" cy="417739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72" name="Text Box 277747">
          <a:extLst>
            <a:ext uri="{FF2B5EF4-FFF2-40B4-BE49-F238E27FC236}">
              <a16:creationId xmlns="" xmlns:a16="http://schemas.microsoft.com/office/drawing/2014/main" id="{A0D97A7F-BD7E-4777-96C2-0D1AB5FC16CF}"/>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621847"/>
    <xdr:sp macro="" textlink="">
      <xdr:nvSpPr>
        <xdr:cNvPr id="1073" name="Text Box 277748">
          <a:extLst>
            <a:ext uri="{FF2B5EF4-FFF2-40B4-BE49-F238E27FC236}">
              <a16:creationId xmlns="" xmlns:a16="http://schemas.microsoft.com/office/drawing/2014/main" id="{FD5D6D96-39D0-4240-8318-C5E4D077B01C}"/>
            </a:ext>
          </a:extLst>
        </xdr:cNvPr>
        <xdr:cNvSpPr txBox="1">
          <a:spLocks noChangeArrowheads="1"/>
        </xdr:cNvSpPr>
      </xdr:nvSpPr>
      <xdr:spPr bwMode="auto">
        <a:xfrm>
          <a:off x="19030950" y="73380600"/>
          <a:ext cx="76200" cy="62184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76" name="Text Box 43">
          <a:extLst>
            <a:ext uri="{FF2B5EF4-FFF2-40B4-BE49-F238E27FC236}">
              <a16:creationId xmlns="" xmlns:a16="http://schemas.microsoft.com/office/drawing/2014/main" id="{06239B21-FDA4-4979-A054-9370010B84FD}"/>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77" name="Text Box 45">
          <a:extLst>
            <a:ext uri="{FF2B5EF4-FFF2-40B4-BE49-F238E27FC236}">
              <a16:creationId xmlns="" xmlns:a16="http://schemas.microsoft.com/office/drawing/2014/main" id="{89888030-EC8C-498A-BE92-C692FCFF33B4}"/>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78" name="Text Box 64">
          <a:extLst>
            <a:ext uri="{FF2B5EF4-FFF2-40B4-BE49-F238E27FC236}">
              <a16:creationId xmlns="" xmlns:a16="http://schemas.microsoft.com/office/drawing/2014/main" id="{C7355128-D68C-45F4-8C6C-217AABFD8ADA}"/>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79" name="Text Box 65">
          <a:extLst>
            <a:ext uri="{FF2B5EF4-FFF2-40B4-BE49-F238E27FC236}">
              <a16:creationId xmlns="" xmlns:a16="http://schemas.microsoft.com/office/drawing/2014/main" id="{83D4139E-A313-4EB5-A6BE-80A5BE000D07}"/>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80" name="Text Box 66">
          <a:extLst>
            <a:ext uri="{FF2B5EF4-FFF2-40B4-BE49-F238E27FC236}">
              <a16:creationId xmlns="" xmlns:a16="http://schemas.microsoft.com/office/drawing/2014/main" id="{FA8D2AA6-EBA2-4F4B-A824-9B7406058C64}"/>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81" name="Text Box 67">
          <a:extLst>
            <a:ext uri="{FF2B5EF4-FFF2-40B4-BE49-F238E27FC236}">
              <a16:creationId xmlns="" xmlns:a16="http://schemas.microsoft.com/office/drawing/2014/main" id="{17FB75C3-BDC8-4E2D-ABC0-6AFE507E2D83}"/>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82" name="Text Box 81">
          <a:extLst>
            <a:ext uri="{FF2B5EF4-FFF2-40B4-BE49-F238E27FC236}">
              <a16:creationId xmlns="" xmlns:a16="http://schemas.microsoft.com/office/drawing/2014/main" id="{5C42FB4D-EC60-4532-BEDC-C2A3434472B5}"/>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83" name="Text Box 82">
          <a:extLst>
            <a:ext uri="{FF2B5EF4-FFF2-40B4-BE49-F238E27FC236}">
              <a16:creationId xmlns="" xmlns:a16="http://schemas.microsoft.com/office/drawing/2014/main" id="{76B07BE9-9F56-469F-AE3F-9ECDB0B26AA6}"/>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84" name="Text Box 87">
          <a:extLst>
            <a:ext uri="{FF2B5EF4-FFF2-40B4-BE49-F238E27FC236}">
              <a16:creationId xmlns="" xmlns:a16="http://schemas.microsoft.com/office/drawing/2014/main" id="{0302C249-95CD-44B9-B98E-184E9B131224}"/>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85" name="Text Box 88">
          <a:extLst>
            <a:ext uri="{FF2B5EF4-FFF2-40B4-BE49-F238E27FC236}">
              <a16:creationId xmlns="" xmlns:a16="http://schemas.microsoft.com/office/drawing/2014/main" id="{D6C063CB-6A5F-49F7-AED4-17322156E942}"/>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86" name="Text Box 89">
          <a:extLst>
            <a:ext uri="{FF2B5EF4-FFF2-40B4-BE49-F238E27FC236}">
              <a16:creationId xmlns="" xmlns:a16="http://schemas.microsoft.com/office/drawing/2014/main" id="{6A4765C8-6145-4291-A6B5-3B852B0D9002}"/>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087" name="Text Box 90">
          <a:extLst>
            <a:ext uri="{FF2B5EF4-FFF2-40B4-BE49-F238E27FC236}">
              <a16:creationId xmlns="" xmlns:a16="http://schemas.microsoft.com/office/drawing/2014/main" id="{133C402A-C273-4DF2-B74B-819B7D4CCD28}"/>
            </a:ext>
          </a:extLst>
        </xdr:cNvPr>
        <xdr:cNvSpPr txBox="1">
          <a:spLocks noChangeArrowheads="1"/>
        </xdr:cNvSpPr>
      </xdr:nvSpPr>
      <xdr:spPr bwMode="auto">
        <a:xfrm>
          <a:off x="1057275" y="73380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1088" name="Text Box 68">
          <a:extLst>
            <a:ext uri="{FF2B5EF4-FFF2-40B4-BE49-F238E27FC236}">
              <a16:creationId xmlns="" xmlns:a16="http://schemas.microsoft.com/office/drawing/2014/main" id="{8BA1E262-1259-4960-8EDA-C1D11EE36387}"/>
            </a:ext>
          </a:extLst>
        </xdr:cNvPr>
        <xdr:cNvSpPr txBox="1">
          <a:spLocks noChangeArrowheads="1"/>
        </xdr:cNvSpPr>
      </xdr:nvSpPr>
      <xdr:spPr bwMode="auto">
        <a:xfrm>
          <a:off x="1480185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1089" name="Text Box 69">
          <a:extLst>
            <a:ext uri="{FF2B5EF4-FFF2-40B4-BE49-F238E27FC236}">
              <a16:creationId xmlns="" xmlns:a16="http://schemas.microsoft.com/office/drawing/2014/main" id="{69B74006-3FCB-44C6-869C-E0FA025FA137}"/>
            </a:ext>
          </a:extLst>
        </xdr:cNvPr>
        <xdr:cNvSpPr txBox="1">
          <a:spLocks noChangeArrowheads="1"/>
        </xdr:cNvSpPr>
      </xdr:nvSpPr>
      <xdr:spPr bwMode="auto">
        <a:xfrm>
          <a:off x="1480185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1090" name="Text Box 91">
          <a:extLst>
            <a:ext uri="{FF2B5EF4-FFF2-40B4-BE49-F238E27FC236}">
              <a16:creationId xmlns="" xmlns:a16="http://schemas.microsoft.com/office/drawing/2014/main" id="{3C5D96C6-B5A4-4D96-9141-9392100A221A}"/>
            </a:ext>
          </a:extLst>
        </xdr:cNvPr>
        <xdr:cNvSpPr txBox="1">
          <a:spLocks noChangeArrowheads="1"/>
        </xdr:cNvSpPr>
      </xdr:nvSpPr>
      <xdr:spPr bwMode="auto">
        <a:xfrm>
          <a:off x="14801850" y="733806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209</xdr:row>
      <xdr:rowOff>0</xdr:rowOff>
    </xdr:from>
    <xdr:ext cx="1319932" cy="171284"/>
    <xdr:sp macro="" textlink="">
      <xdr:nvSpPr>
        <xdr:cNvPr id="1092" name="Text Box 805">
          <a:extLst>
            <a:ext uri="{FF2B5EF4-FFF2-40B4-BE49-F238E27FC236}">
              <a16:creationId xmlns="" xmlns:a16="http://schemas.microsoft.com/office/drawing/2014/main" id="{F7548D45-BA8A-4392-A193-E20A9301E374}"/>
            </a:ext>
          </a:extLst>
        </xdr:cNvPr>
        <xdr:cNvSpPr txBox="1">
          <a:spLocks noChangeArrowheads="1"/>
        </xdr:cNvSpPr>
      </xdr:nvSpPr>
      <xdr:spPr bwMode="auto">
        <a:xfrm flipH="1">
          <a:off x="15859125" y="45491400"/>
          <a:ext cx="1319932" cy="171284"/>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1312092" cy="214245"/>
    <xdr:sp macro="" textlink="">
      <xdr:nvSpPr>
        <xdr:cNvPr id="1093" name="Text Box 805">
          <a:extLst>
            <a:ext uri="{FF2B5EF4-FFF2-40B4-BE49-F238E27FC236}">
              <a16:creationId xmlns="" xmlns:a16="http://schemas.microsoft.com/office/drawing/2014/main" id="{388D8211-AD39-4438-8AFD-EAE530D122FE}"/>
            </a:ext>
          </a:extLst>
        </xdr:cNvPr>
        <xdr:cNvSpPr txBox="1">
          <a:spLocks noChangeArrowheads="1"/>
        </xdr:cNvSpPr>
      </xdr:nvSpPr>
      <xdr:spPr bwMode="auto">
        <a:xfrm flipH="1">
          <a:off x="15859125" y="45491400"/>
          <a:ext cx="1312092" cy="214245"/>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1319932" cy="171284"/>
    <xdr:sp macro="" textlink="">
      <xdr:nvSpPr>
        <xdr:cNvPr id="1094" name="Text Box 805">
          <a:extLst>
            <a:ext uri="{FF2B5EF4-FFF2-40B4-BE49-F238E27FC236}">
              <a16:creationId xmlns="" xmlns:a16="http://schemas.microsoft.com/office/drawing/2014/main" id="{DDECB9DB-67F9-4071-AAD9-DC420115D4CA}"/>
            </a:ext>
          </a:extLst>
        </xdr:cNvPr>
        <xdr:cNvSpPr txBox="1">
          <a:spLocks noChangeArrowheads="1"/>
        </xdr:cNvSpPr>
      </xdr:nvSpPr>
      <xdr:spPr bwMode="auto">
        <a:xfrm flipH="1">
          <a:off x="15859125" y="45491400"/>
          <a:ext cx="1319932" cy="171284"/>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1312092" cy="214245"/>
    <xdr:sp macro="" textlink="">
      <xdr:nvSpPr>
        <xdr:cNvPr id="1095" name="Text Box 805">
          <a:extLst>
            <a:ext uri="{FF2B5EF4-FFF2-40B4-BE49-F238E27FC236}">
              <a16:creationId xmlns="" xmlns:a16="http://schemas.microsoft.com/office/drawing/2014/main" id="{47531B1A-BEA9-48AA-B6BA-288D2DF59150}"/>
            </a:ext>
          </a:extLst>
        </xdr:cNvPr>
        <xdr:cNvSpPr txBox="1">
          <a:spLocks noChangeArrowheads="1"/>
        </xdr:cNvSpPr>
      </xdr:nvSpPr>
      <xdr:spPr bwMode="auto">
        <a:xfrm flipH="1">
          <a:off x="15859125" y="45491400"/>
          <a:ext cx="1312092" cy="214245"/>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617441" cy="174996"/>
    <xdr:sp macro="" textlink="">
      <xdr:nvSpPr>
        <xdr:cNvPr id="1096" name="Text Box 805">
          <a:extLst>
            <a:ext uri="{FF2B5EF4-FFF2-40B4-BE49-F238E27FC236}">
              <a16:creationId xmlns="" xmlns:a16="http://schemas.microsoft.com/office/drawing/2014/main" id="{D1D38A61-241F-42C9-8CEF-DDDDBD8E9056}"/>
            </a:ext>
          </a:extLst>
        </xdr:cNvPr>
        <xdr:cNvSpPr txBox="1">
          <a:spLocks noChangeArrowheads="1"/>
        </xdr:cNvSpPr>
      </xdr:nvSpPr>
      <xdr:spPr bwMode="auto">
        <a:xfrm flipH="1">
          <a:off x="15859125" y="45720000"/>
          <a:ext cx="617441" cy="174996"/>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1312092" cy="206555"/>
    <xdr:sp macro="" textlink="">
      <xdr:nvSpPr>
        <xdr:cNvPr id="1097" name="Text Box 805">
          <a:extLst>
            <a:ext uri="{FF2B5EF4-FFF2-40B4-BE49-F238E27FC236}">
              <a16:creationId xmlns="" xmlns:a16="http://schemas.microsoft.com/office/drawing/2014/main" id="{102E9941-A5B3-4A12-953E-98460F544DD8}"/>
            </a:ext>
          </a:extLst>
        </xdr:cNvPr>
        <xdr:cNvSpPr txBox="1">
          <a:spLocks noChangeArrowheads="1"/>
        </xdr:cNvSpPr>
      </xdr:nvSpPr>
      <xdr:spPr bwMode="auto">
        <a:xfrm flipH="1">
          <a:off x="15859125" y="45720000"/>
          <a:ext cx="1312092" cy="206555"/>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223</xdr:row>
      <xdr:rowOff>0</xdr:rowOff>
    </xdr:from>
    <xdr:ext cx="0" cy="200025"/>
    <xdr:sp macro="" textlink="">
      <xdr:nvSpPr>
        <xdr:cNvPr id="1098" name="Text Box 72">
          <a:extLst>
            <a:ext uri="{FF2B5EF4-FFF2-40B4-BE49-F238E27FC236}">
              <a16:creationId xmlns="" xmlns:a16="http://schemas.microsoft.com/office/drawing/2014/main" id="{BCFC283E-D930-4A7C-92DC-CC33AF09EC47}"/>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099" name="Text Box 73">
          <a:extLst>
            <a:ext uri="{FF2B5EF4-FFF2-40B4-BE49-F238E27FC236}">
              <a16:creationId xmlns="" xmlns:a16="http://schemas.microsoft.com/office/drawing/2014/main" id="{1571D6ED-B954-4814-AC5D-59C2D8E2B4D3}"/>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9550"/>
    <xdr:sp macro="" textlink="">
      <xdr:nvSpPr>
        <xdr:cNvPr id="1100" name="Text Box 19">
          <a:extLst>
            <a:ext uri="{FF2B5EF4-FFF2-40B4-BE49-F238E27FC236}">
              <a16:creationId xmlns="" xmlns:a16="http://schemas.microsoft.com/office/drawing/2014/main" id="{4CFE708E-56C6-479D-8D07-0CE9F51F0661}"/>
            </a:ext>
          </a:extLst>
        </xdr:cNvPr>
        <xdr:cNvSpPr txBox="1">
          <a:spLocks noChangeArrowheads="1"/>
        </xdr:cNvSpPr>
      </xdr:nvSpPr>
      <xdr:spPr bwMode="auto">
        <a:xfrm>
          <a:off x="16916400" y="49834800"/>
          <a:ext cx="0" cy="209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9550"/>
    <xdr:sp macro="" textlink="">
      <xdr:nvSpPr>
        <xdr:cNvPr id="1101" name="Text Box 20">
          <a:extLst>
            <a:ext uri="{FF2B5EF4-FFF2-40B4-BE49-F238E27FC236}">
              <a16:creationId xmlns="" xmlns:a16="http://schemas.microsoft.com/office/drawing/2014/main" id="{CCEDEEFD-FFF7-44F6-B956-B428F48ECA91}"/>
            </a:ext>
          </a:extLst>
        </xdr:cNvPr>
        <xdr:cNvSpPr txBox="1">
          <a:spLocks noChangeArrowheads="1"/>
        </xdr:cNvSpPr>
      </xdr:nvSpPr>
      <xdr:spPr bwMode="auto">
        <a:xfrm>
          <a:off x="16916400" y="49834800"/>
          <a:ext cx="0" cy="209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02" name="Text Box 21">
          <a:extLst>
            <a:ext uri="{FF2B5EF4-FFF2-40B4-BE49-F238E27FC236}">
              <a16:creationId xmlns="" xmlns:a16="http://schemas.microsoft.com/office/drawing/2014/main" id="{8D81BBCC-B4E6-447A-9CA6-D0A008E41946}"/>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03" name="Text Box 22">
          <a:extLst>
            <a:ext uri="{FF2B5EF4-FFF2-40B4-BE49-F238E27FC236}">
              <a16:creationId xmlns="" xmlns:a16="http://schemas.microsoft.com/office/drawing/2014/main" id="{7FBDB368-AD2B-4EC4-8CE9-1B9E0CC879C6}"/>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04" name="Text Box 23">
          <a:extLst>
            <a:ext uri="{FF2B5EF4-FFF2-40B4-BE49-F238E27FC236}">
              <a16:creationId xmlns="" xmlns:a16="http://schemas.microsoft.com/office/drawing/2014/main" id="{F9CB5665-9FE1-4A20-922A-EE44250640C1}"/>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05" name="Text Box 24">
          <a:extLst>
            <a:ext uri="{FF2B5EF4-FFF2-40B4-BE49-F238E27FC236}">
              <a16:creationId xmlns="" xmlns:a16="http://schemas.microsoft.com/office/drawing/2014/main" id="{1AFF447F-EC7B-40AC-8763-B04F29EE9543}"/>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06" name="Text Box 25">
          <a:extLst>
            <a:ext uri="{FF2B5EF4-FFF2-40B4-BE49-F238E27FC236}">
              <a16:creationId xmlns="" xmlns:a16="http://schemas.microsoft.com/office/drawing/2014/main" id="{130735FD-FD38-4DB0-B27A-5C6BE7445F46}"/>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07" name="Text Box 26">
          <a:extLst>
            <a:ext uri="{FF2B5EF4-FFF2-40B4-BE49-F238E27FC236}">
              <a16:creationId xmlns="" xmlns:a16="http://schemas.microsoft.com/office/drawing/2014/main" id="{1367DB21-9CA4-43F1-97FF-08AF870EE5C2}"/>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08" name="Text Box 27">
          <a:extLst>
            <a:ext uri="{FF2B5EF4-FFF2-40B4-BE49-F238E27FC236}">
              <a16:creationId xmlns="" xmlns:a16="http://schemas.microsoft.com/office/drawing/2014/main" id="{F5C1ADA7-ACB8-4EE6-BA68-75B91C4EC41D}"/>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09" name="Text Box 28">
          <a:extLst>
            <a:ext uri="{FF2B5EF4-FFF2-40B4-BE49-F238E27FC236}">
              <a16:creationId xmlns="" xmlns:a16="http://schemas.microsoft.com/office/drawing/2014/main" id="{14835487-E8E1-46D3-822E-660CA5FA8C08}"/>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10" name="Text Box 29">
          <a:extLst>
            <a:ext uri="{FF2B5EF4-FFF2-40B4-BE49-F238E27FC236}">
              <a16:creationId xmlns="" xmlns:a16="http://schemas.microsoft.com/office/drawing/2014/main" id="{1C796586-338B-40BB-A857-05DD77606211}"/>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11" name="Text Box 30">
          <a:extLst>
            <a:ext uri="{FF2B5EF4-FFF2-40B4-BE49-F238E27FC236}">
              <a16:creationId xmlns="" xmlns:a16="http://schemas.microsoft.com/office/drawing/2014/main" id="{DB789F60-CF98-4CFE-A943-52AB65D1C1A1}"/>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12" name="Text Box 31">
          <a:extLst>
            <a:ext uri="{FF2B5EF4-FFF2-40B4-BE49-F238E27FC236}">
              <a16:creationId xmlns="" xmlns:a16="http://schemas.microsoft.com/office/drawing/2014/main" id="{5D1EE9D7-6640-488A-AE97-7253FA4F1DAA}"/>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13" name="Text Box 32">
          <a:extLst>
            <a:ext uri="{FF2B5EF4-FFF2-40B4-BE49-F238E27FC236}">
              <a16:creationId xmlns="" xmlns:a16="http://schemas.microsoft.com/office/drawing/2014/main" id="{6439019A-38F2-48D4-825E-493D89993C74}"/>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14" name="Text Box 33">
          <a:extLst>
            <a:ext uri="{FF2B5EF4-FFF2-40B4-BE49-F238E27FC236}">
              <a16:creationId xmlns="" xmlns:a16="http://schemas.microsoft.com/office/drawing/2014/main" id="{38BA74AF-6EC5-4883-8E9D-75670F5DF436}"/>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15" name="Text Box 34">
          <a:extLst>
            <a:ext uri="{FF2B5EF4-FFF2-40B4-BE49-F238E27FC236}">
              <a16:creationId xmlns="" xmlns:a16="http://schemas.microsoft.com/office/drawing/2014/main" id="{DF56BD8B-4084-4E44-96A2-9AE046324F9F}"/>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16" name="Text Box 35">
          <a:extLst>
            <a:ext uri="{FF2B5EF4-FFF2-40B4-BE49-F238E27FC236}">
              <a16:creationId xmlns="" xmlns:a16="http://schemas.microsoft.com/office/drawing/2014/main" id="{ACF1BE8D-3259-4015-B40C-8ECC01BB0EA1}"/>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17" name="Text Box 36">
          <a:extLst>
            <a:ext uri="{FF2B5EF4-FFF2-40B4-BE49-F238E27FC236}">
              <a16:creationId xmlns="" xmlns:a16="http://schemas.microsoft.com/office/drawing/2014/main" id="{7538C876-6525-4F3B-B3C7-D33E85A07A67}"/>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18" name="Text Box 37">
          <a:extLst>
            <a:ext uri="{FF2B5EF4-FFF2-40B4-BE49-F238E27FC236}">
              <a16:creationId xmlns="" xmlns:a16="http://schemas.microsoft.com/office/drawing/2014/main" id="{A4A3AC7E-372D-4FB8-BA46-5AD65265574A}"/>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19" name="Text Box 38">
          <a:extLst>
            <a:ext uri="{FF2B5EF4-FFF2-40B4-BE49-F238E27FC236}">
              <a16:creationId xmlns="" xmlns:a16="http://schemas.microsoft.com/office/drawing/2014/main" id="{01232625-9C85-4A73-A7B2-F305A9B1D19B}"/>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20" name="Text Box 39">
          <a:extLst>
            <a:ext uri="{FF2B5EF4-FFF2-40B4-BE49-F238E27FC236}">
              <a16:creationId xmlns="" xmlns:a16="http://schemas.microsoft.com/office/drawing/2014/main" id="{A5CB016A-EF70-4431-BCFE-8B2BEA891F6F}"/>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21" name="Text Box 40">
          <a:extLst>
            <a:ext uri="{FF2B5EF4-FFF2-40B4-BE49-F238E27FC236}">
              <a16:creationId xmlns="" xmlns:a16="http://schemas.microsoft.com/office/drawing/2014/main" id="{6C1B3B12-0F7C-4F9E-ADDF-BEEF7E9C0D5A}"/>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22" name="Text Box 41">
          <a:extLst>
            <a:ext uri="{FF2B5EF4-FFF2-40B4-BE49-F238E27FC236}">
              <a16:creationId xmlns="" xmlns:a16="http://schemas.microsoft.com/office/drawing/2014/main" id="{B8652CAD-6927-4052-85A6-D5F7470C80B8}"/>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23" name="Text Box 42">
          <a:extLst>
            <a:ext uri="{FF2B5EF4-FFF2-40B4-BE49-F238E27FC236}">
              <a16:creationId xmlns="" xmlns:a16="http://schemas.microsoft.com/office/drawing/2014/main" id="{EE7922B8-8D88-48C5-9485-B19CB1BF4B2D}"/>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24" name="Text Box 43">
          <a:extLst>
            <a:ext uri="{FF2B5EF4-FFF2-40B4-BE49-F238E27FC236}">
              <a16:creationId xmlns="" xmlns:a16="http://schemas.microsoft.com/office/drawing/2014/main" id="{8F95078F-BC07-49EC-8FD8-C4F22B2A07E5}"/>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25" name="Text Box 44">
          <a:extLst>
            <a:ext uri="{FF2B5EF4-FFF2-40B4-BE49-F238E27FC236}">
              <a16:creationId xmlns="" xmlns:a16="http://schemas.microsoft.com/office/drawing/2014/main" id="{181A7958-D9E3-42A6-AB41-6A79D73E2D87}"/>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26" name="Text Box 45">
          <a:extLst>
            <a:ext uri="{FF2B5EF4-FFF2-40B4-BE49-F238E27FC236}">
              <a16:creationId xmlns="" xmlns:a16="http://schemas.microsoft.com/office/drawing/2014/main" id="{A2F8FB1B-D9DC-4423-8E75-6E83B36CDAB8}"/>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27" name="Text Box 46">
          <a:extLst>
            <a:ext uri="{FF2B5EF4-FFF2-40B4-BE49-F238E27FC236}">
              <a16:creationId xmlns="" xmlns:a16="http://schemas.microsoft.com/office/drawing/2014/main" id="{7CAE1A49-CB66-4A0D-8014-41129E259DA1}"/>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28" name="Text Box 47">
          <a:extLst>
            <a:ext uri="{FF2B5EF4-FFF2-40B4-BE49-F238E27FC236}">
              <a16:creationId xmlns="" xmlns:a16="http://schemas.microsoft.com/office/drawing/2014/main" id="{2BE0691F-DDA8-42BF-9199-C8B494143532}"/>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29" name="Text Box 48">
          <a:extLst>
            <a:ext uri="{FF2B5EF4-FFF2-40B4-BE49-F238E27FC236}">
              <a16:creationId xmlns="" xmlns:a16="http://schemas.microsoft.com/office/drawing/2014/main" id="{F7B56BE1-616F-4824-AC7F-FB4129E96647}"/>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30" name="Text Box 49">
          <a:extLst>
            <a:ext uri="{FF2B5EF4-FFF2-40B4-BE49-F238E27FC236}">
              <a16:creationId xmlns="" xmlns:a16="http://schemas.microsoft.com/office/drawing/2014/main" id="{D2EE4790-113A-4B2F-940C-9422B869C1EB}"/>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31" name="Text Box 50">
          <a:extLst>
            <a:ext uri="{FF2B5EF4-FFF2-40B4-BE49-F238E27FC236}">
              <a16:creationId xmlns="" xmlns:a16="http://schemas.microsoft.com/office/drawing/2014/main" id="{9CA8378A-84EA-46AE-BBB9-F7FD9169337B}"/>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32" name="Text Box 51">
          <a:extLst>
            <a:ext uri="{FF2B5EF4-FFF2-40B4-BE49-F238E27FC236}">
              <a16:creationId xmlns="" xmlns:a16="http://schemas.microsoft.com/office/drawing/2014/main" id="{20922ECF-D2BD-49CE-BB15-5DBF39E91CDE}"/>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33" name="Text Box 52">
          <a:extLst>
            <a:ext uri="{FF2B5EF4-FFF2-40B4-BE49-F238E27FC236}">
              <a16:creationId xmlns="" xmlns:a16="http://schemas.microsoft.com/office/drawing/2014/main" id="{A9BDB90D-1842-4490-BBCF-DC8176723D95}"/>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34" name="Text Box 53">
          <a:extLst>
            <a:ext uri="{FF2B5EF4-FFF2-40B4-BE49-F238E27FC236}">
              <a16:creationId xmlns="" xmlns:a16="http://schemas.microsoft.com/office/drawing/2014/main" id="{6A068E7C-A959-45BA-BB94-937A3EF71784}"/>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35" name="Text Box 54">
          <a:extLst>
            <a:ext uri="{FF2B5EF4-FFF2-40B4-BE49-F238E27FC236}">
              <a16:creationId xmlns="" xmlns:a16="http://schemas.microsoft.com/office/drawing/2014/main" id="{B6953465-4B25-4CE8-BA48-897ABF4B4CD8}"/>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36" name="Text Box 55">
          <a:extLst>
            <a:ext uri="{FF2B5EF4-FFF2-40B4-BE49-F238E27FC236}">
              <a16:creationId xmlns="" xmlns:a16="http://schemas.microsoft.com/office/drawing/2014/main" id="{FD1E1D69-602E-4CB2-839C-82031204A818}"/>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37" name="Text Box 56">
          <a:extLst>
            <a:ext uri="{FF2B5EF4-FFF2-40B4-BE49-F238E27FC236}">
              <a16:creationId xmlns="" xmlns:a16="http://schemas.microsoft.com/office/drawing/2014/main" id="{572B3C15-D69E-4D16-93FB-FC8374291FEC}"/>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38" name="Text Box 57">
          <a:extLst>
            <a:ext uri="{FF2B5EF4-FFF2-40B4-BE49-F238E27FC236}">
              <a16:creationId xmlns="" xmlns:a16="http://schemas.microsoft.com/office/drawing/2014/main" id="{E6D3F427-2F49-44B2-95BC-A95C56D55BF7}"/>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39" name="Text Box 58">
          <a:extLst>
            <a:ext uri="{FF2B5EF4-FFF2-40B4-BE49-F238E27FC236}">
              <a16:creationId xmlns="" xmlns:a16="http://schemas.microsoft.com/office/drawing/2014/main" id="{26568965-9713-4A05-A6CF-5AFBA99EF195}"/>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40" name="Text Box 59">
          <a:extLst>
            <a:ext uri="{FF2B5EF4-FFF2-40B4-BE49-F238E27FC236}">
              <a16:creationId xmlns="" xmlns:a16="http://schemas.microsoft.com/office/drawing/2014/main" id="{8B0F9142-D6E0-4992-A667-26DBD262E0E3}"/>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41" name="Text Box 60">
          <a:extLst>
            <a:ext uri="{FF2B5EF4-FFF2-40B4-BE49-F238E27FC236}">
              <a16:creationId xmlns="" xmlns:a16="http://schemas.microsoft.com/office/drawing/2014/main" id="{6F1053A1-5099-4EA9-9714-045BAFEA1639}"/>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42" name="Text Box 61">
          <a:extLst>
            <a:ext uri="{FF2B5EF4-FFF2-40B4-BE49-F238E27FC236}">
              <a16:creationId xmlns="" xmlns:a16="http://schemas.microsoft.com/office/drawing/2014/main" id="{1EF4AE35-177C-4C0B-A2A4-B7DA3A8593A1}"/>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43" name="Text Box 62">
          <a:extLst>
            <a:ext uri="{FF2B5EF4-FFF2-40B4-BE49-F238E27FC236}">
              <a16:creationId xmlns="" xmlns:a16="http://schemas.microsoft.com/office/drawing/2014/main" id="{1E710F53-D2D6-4835-B2CA-39B8585574A6}"/>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44" name="Text Box 63">
          <a:extLst>
            <a:ext uri="{FF2B5EF4-FFF2-40B4-BE49-F238E27FC236}">
              <a16:creationId xmlns="" xmlns:a16="http://schemas.microsoft.com/office/drawing/2014/main" id="{8578E7F2-792D-43CF-A9BC-EF310DC659F1}"/>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45" name="Text Box 64">
          <a:extLst>
            <a:ext uri="{FF2B5EF4-FFF2-40B4-BE49-F238E27FC236}">
              <a16:creationId xmlns="" xmlns:a16="http://schemas.microsoft.com/office/drawing/2014/main" id="{E7F83056-395E-4A5F-8149-86CF1EAFBB59}"/>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46" name="Text Box 65">
          <a:extLst>
            <a:ext uri="{FF2B5EF4-FFF2-40B4-BE49-F238E27FC236}">
              <a16:creationId xmlns="" xmlns:a16="http://schemas.microsoft.com/office/drawing/2014/main" id="{D7D14EE3-DA53-465C-AE31-9361134FECAB}"/>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47" name="Text Box 66">
          <a:extLst>
            <a:ext uri="{FF2B5EF4-FFF2-40B4-BE49-F238E27FC236}">
              <a16:creationId xmlns="" xmlns:a16="http://schemas.microsoft.com/office/drawing/2014/main" id="{4AEB1029-A219-4BE9-B890-8A1A6F5F703E}"/>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85750"/>
    <xdr:sp macro="" textlink="">
      <xdr:nvSpPr>
        <xdr:cNvPr id="1148" name="Text Box 67">
          <a:extLst>
            <a:ext uri="{FF2B5EF4-FFF2-40B4-BE49-F238E27FC236}">
              <a16:creationId xmlns="" xmlns:a16="http://schemas.microsoft.com/office/drawing/2014/main" id="{576789E9-357D-4F29-B07C-0B8ECF398CF2}"/>
            </a:ext>
          </a:extLst>
        </xdr:cNvPr>
        <xdr:cNvSpPr txBox="1">
          <a:spLocks noChangeArrowheads="1"/>
        </xdr:cNvSpPr>
      </xdr:nvSpPr>
      <xdr:spPr bwMode="auto">
        <a:xfrm>
          <a:off x="16916400" y="49834800"/>
          <a:ext cx="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85750"/>
    <xdr:sp macro="" textlink="">
      <xdr:nvSpPr>
        <xdr:cNvPr id="1149" name="Text Box 68">
          <a:extLst>
            <a:ext uri="{FF2B5EF4-FFF2-40B4-BE49-F238E27FC236}">
              <a16:creationId xmlns="" xmlns:a16="http://schemas.microsoft.com/office/drawing/2014/main" id="{DB3BD2B5-EB08-4653-A1EF-AF53C34E7339}"/>
            </a:ext>
          </a:extLst>
        </xdr:cNvPr>
        <xdr:cNvSpPr txBox="1">
          <a:spLocks noChangeArrowheads="1"/>
        </xdr:cNvSpPr>
      </xdr:nvSpPr>
      <xdr:spPr bwMode="auto">
        <a:xfrm>
          <a:off x="16916400" y="49834800"/>
          <a:ext cx="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50" name="Text Box 69">
          <a:extLst>
            <a:ext uri="{FF2B5EF4-FFF2-40B4-BE49-F238E27FC236}">
              <a16:creationId xmlns="" xmlns:a16="http://schemas.microsoft.com/office/drawing/2014/main" id="{28998C93-A477-4046-B7B4-1900EFF72A53}"/>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51" name="Text Box 70">
          <a:extLst>
            <a:ext uri="{FF2B5EF4-FFF2-40B4-BE49-F238E27FC236}">
              <a16:creationId xmlns="" xmlns:a16="http://schemas.microsoft.com/office/drawing/2014/main" id="{9EA4D87B-5A7B-4A0E-BBB5-58CAA4F36DEC}"/>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52" name="Text Box 71">
          <a:extLst>
            <a:ext uri="{FF2B5EF4-FFF2-40B4-BE49-F238E27FC236}">
              <a16:creationId xmlns="" xmlns:a16="http://schemas.microsoft.com/office/drawing/2014/main" id="{6AC3B73F-FF4A-4269-8665-96EA86B84A1C}"/>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53" name="Text Box 72">
          <a:extLst>
            <a:ext uri="{FF2B5EF4-FFF2-40B4-BE49-F238E27FC236}">
              <a16:creationId xmlns="" xmlns:a16="http://schemas.microsoft.com/office/drawing/2014/main" id="{A557BC54-5AEE-4F94-A963-E0A94DFF1032}"/>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54" name="Text Box 73">
          <a:extLst>
            <a:ext uri="{FF2B5EF4-FFF2-40B4-BE49-F238E27FC236}">
              <a16:creationId xmlns="" xmlns:a16="http://schemas.microsoft.com/office/drawing/2014/main" id="{E1D79C7F-2036-4553-8805-7BCE9F1ECB7B}"/>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55" name="Text Box 74">
          <a:extLst>
            <a:ext uri="{FF2B5EF4-FFF2-40B4-BE49-F238E27FC236}">
              <a16:creationId xmlns="" xmlns:a16="http://schemas.microsoft.com/office/drawing/2014/main" id="{BA116993-A589-495B-8E2D-07B10F115B25}"/>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56" name="Text Box 75">
          <a:extLst>
            <a:ext uri="{FF2B5EF4-FFF2-40B4-BE49-F238E27FC236}">
              <a16:creationId xmlns="" xmlns:a16="http://schemas.microsoft.com/office/drawing/2014/main" id="{4C413A89-2AA4-4E7A-BC16-378EB0F48435}"/>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57" name="Text Box 76">
          <a:extLst>
            <a:ext uri="{FF2B5EF4-FFF2-40B4-BE49-F238E27FC236}">
              <a16:creationId xmlns="" xmlns:a16="http://schemas.microsoft.com/office/drawing/2014/main" id="{1A7B303C-7E95-495F-B030-5B1220AC6CD9}"/>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58" name="Text Box 77">
          <a:extLst>
            <a:ext uri="{FF2B5EF4-FFF2-40B4-BE49-F238E27FC236}">
              <a16:creationId xmlns="" xmlns:a16="http://schemas.microsoft.com/office/drawing/2014/main" id="{49F85A4E-AEE7-4857-9413-A622F4DF7E8D}"/>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59" name="Text Box 78">
          <a:extLst>
            <a:ext uri="{FF2B5EF4-FFF2-40B4-BE49-F238E27FC236}">
              <a16:creationId xmlns="" xmlns:a16="http://schemas.microsoft.com/office/drawing/2014/main" id="{814984B6-0702-46AD-851A-74175CF0AD3B}"/>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60" name="Text Box 79">
          <a:extLst>
            <a:ext uri="{FF2B5EF4-FFF2-40B4-BE49-F238E27FC236}">
              <a16:creationId xmlns="" xmlns:a16="http://schemas.microsoft.com/office/drawing/2014/main" id="{D6B5B636-412B-43D2-BD14-54500B8A2E3A}"/>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61" name="Text Box 80">
          <a:extLst>
            <a:ext uri="{FF2B5EF4-FFF2-40B4-BE49-F238E27FC236}">
              <a16:creationId xmlns="" xmlns:a16="http://schemas.microsoft.com/office/drawing/2014/main" id="{F1D3EF5A-6F1E-428C-A132-4778D1EC46B6}"/>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62" name="Text Box 95">
          <a:extLst>
            <a:ext uri="{FF2B5EF4-FFF2-40B4-BE49-F238E27FC236}">
              <a16:creationId xmlns="" xmlns:a16="http://schemas.microsoft.com/office/drawing/2014/main" id="{93A6E8F2-0D3E-4CE1-AB83-EC784A5DAB0A}"/>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63" name="Text Box 96">
          <a:extLst>
            <a:ext uri="{FF2B5EF4-FFF2-40B4-BE49-F238E27FC236}">
              <a16:creationId xmlns="" xmlns:a16="http://schemas.microsoft.com/office/drawing/2014/main" id="{A000B3BA-C0DE-4327-900C-E1D28CB70B8C}"/>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9550"/>
    <xdr:sp macro="" textlink="">
      <xdr:nvSpPr>
        <xdr:cNvPr id="1164" name="Text Box 97">
          <a:extLst>
            <a:ext uri="{FF2B5EF4-FFF2-40B4-BE49-F238E27FC236}">
              <a16:creationId xmlns="" xmlns:a16="http://schemas.microsoft.com/office/drawing/2014/main" id="{FB5C327D-97FC-4700-B101-67C1B6286746}"/>
            </a:ext>
          </a:extLst>
        </xdr:cNvPr>
        <xdr:cNvSpPr txBox="1">
          <a:spLocks noChangeArrowheads="1"/>
        </xdr:cNvSpPr>
      </xdr:nvSpPr>
      <xdr:spPr bwMode="auto">
        <a:xfrm>
          <a:off x="16916400" y="49834800"/>
          <a:ext cx="0" cy="209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9550"/>
    <xdr:sp macro="" textlink="">
      <xdr:nvSpPr>
        <xdr:cNvPr id="1165" name="Text Box 98">
          <a:extLst>
            <a:ext uri="{FF2B5EF4-FFF2-40B4-BE49-F238E27FC236}">
              <a16:creationId xmlns="" xmlns:a16="http://schemas.microsoft.com/office/drawing/2014/main" id="{BDEA6188-4405-47A7-830B-EC2959AF230C}"/>
            </a:ext>
          </a:extLst>
        </xdr:cNvPr>
        <xdr:cNvSpPr txBox="1">
          <a:spLocks noChangeArrowheads="1"/>
        </xdr:cNvSpPr>
      </xdr:nvSpPr>
      <xdr:spPr bwMode="auto">
        <a:xfrm>
          <a:off x="16916400" y="49834800"/>
          <a:ext cx="0" cy="209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66" name="Text Box 99">
          <a:extLst>
            <a:ext uri="{FF2B5EF4-FFF2-40B4-BE49-F238E27FC236}">
              <a16:creationId xmlns="" xmlns:a16="http://schemas.microsoft.com/office/drawing/2014/main" id="{3DA6A2B4-D1D2-4423-9BF4-4DA7D2D8CDA6}"/>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67" name="Text Box 100">
          <a:extLst>
            <a:ext uri="{FF2B5EF4-FFF2-40B4-BE49-F238E27FC236}">
              <a16:creationId xmlns="" xmlns:a16="http://schemas.microsoft.com/office/drawing/2014/main" id="{20A4C5B6-9A38-49B1-91A2-51B97ED49FED}"/>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68" name="Text Box 101">
          <a:extLst>
            <a:ext uri="{FF2B5EF4-FFF2-40B4-BE49-F238E27FC236}">
              <a16:creationId xmlns="" xmlns:a16="http://schemas.microsoft.com/office/drawing/2014/main" id="{C1E05995-9966-43A4-A153-6D2DB2624AD7}"/>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69" name="Text Box 102">
          <a:extLst>
            <a:ext uri="{FF2B5EF4-FFF2-40B4-BE49-F238E27FC236}">
              <a16:creationId xmlns="" xmlns:a16="http://schemas.microsoft.com/office/drawing/2014/main" id="{B236BD7A-42D5-4B94-8DAA-FA8C80B2063E}"/>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70" name="Text Box 103">
          <a:extLst>
            <a:ext uri="{FF2B5EF4-FFF2-40B4-BE49-F238E27FC236}">
              <a16:creationId xmlns="" xmlns:a16="http://schemas.microsoft.com/office/drawing/2014/main" id="{616951CC-0F35-4648-8BA9-15BF81FE4B2B}"/>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71" name="Text Box 104">
          <a:extLst>
            <a:ext uri="{FF2B5EF4-FFF2-40B4-BE49-F238E27FC236}">
              <a16:creationId xmlns="" xmlns:a16="http://schemas.microsoft.com/office/drawing/2014/main" id="{23DC4F8B-9C53-43B0-81EC-8A33A71925AA}"/>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72" name="Text Box 105">
          <a:extLst>
            <a:ext uri="{FF2B5EF4-FFF2-40B4-BE49-F238E27FC236}">
              <a16:creationId xmlns="" xmlns:a16="http://schemas.microsoft.com/office/drawing/2014/main" id="{2C8B9BCC-E665-4601-A5AF-17B8B36795F8}"/>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73" name="Text Box 106">
          <a:extLst>
            <a:ext uri="{FF2B5EF4-FFF2-40B4-BE49-F238E27FC236}">
              <a16:creationId xmlns="" xmlns:a16="http://schemas.microsoft.com/office/drawing/2014/main" id="{7E2F18D3-88C6-4363-9DFD-48A4BA3E903D}"/>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74" name="Text Box 107">
          <a:extLst>
            <a:ext uri="{FF2B5EF4-FFF2-40B4-BE49-F238E27FC236}">
              <a16:creationId xmlns="" xmlns:a16="http://schemas.microsoft.com/office/drawing/2014/main" id="{4CDE4AAD-B497-4AA1-B914-FEBCB5E61CA6}"/>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75" name="Text Box 108">
          <a:extLst>
            <a:ext uri="{FF2B5EF4-FFF2-40B4-BE49-F238E27FC236}">
              <a16:creationId xmlns="" xmlns:a16="http://schemas.microsoft.com/office/drawing/2014/main" id="{37789B13-7581-4551-ABF3-BE7DE3C6EFE7}"/>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76" name="Text Box 109">
          <a:extLst>
            <a:ext uri="{FF2B5EF4-FFF2-40B4-BE49-F238E27FC236}">
              <a16:creationId xmlns="" xmlns:a16="http://schemas.microsoft.com/office/drawing/2014/main" id="{F895AEF0-6411-49B0-BC97-C1E46453FEEF}"/>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77" name="Text Box 110">
          <a:extLst>
            <a:ext uri="{FF2B5EF4-FFF2-40B4-BE49-F238E27FC236}">
              <a16:creationId xmlns="" xmlns:a16="http://schemas.microsoft.com/office/drawing/2014/main" id="{D2F93DA2-5805-49FB-8837-B5E46F11FDF2}"/>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78" name="Text Box 111">
          <a:extLst>
            <a:ext uri="{FF2B5EF4-FFF2-40B4-BE49-F238E27FC236}">
              <a16:creationId xmlns="" xmlns:a16="http://schemas.microsoft.com/office/drawing/2014/main" id="{22F642EE-ECA5-48A4-84C5-6C6A05267D54}"/>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79" name="Text Box 112">
          <a:extLst>
            <a:ext uri="{FF2B5EF4-FFF2-40B4-BE49-F238E27FC236}">
              <a16:creationId xmlns="" xmlns:a16="http://schemas.microsoft.com/office/drawing/2014/main" id="{B29CFB08-598D-4643-8712-3B19C6520A19}"/>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80" name="Text Box 113">
          <a:extLst>
            <a:ext uri="{FF2B5EF4-FFF2-40B4-BE49-F238E27FC236}">
              <a16:creationId xmlns="" xmlns:a16="http://schemas.microsoft.com/office/drawing/2014/main" id="{23EA227A-F2B4-4F70-AA83-A65F1E6AB6E1}"/>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81" name="Text Box 114">
          <a:extLst>
            <a:ext uri="{FF2B5EF4-FFF2-40B4-BE49-F238E27FC236}">
              <a16:creationId xmlns="" xmlns:a16="http://schemas.microsoft.com/office/drawing/2014/main" id="{7F3C4B72-531B-4900-8B6D-E95F75E4A8B2}"/>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82" name="Text Box 115">
          <a:extLst>
            <a:ext uri="{FF2B5EF4-FFF2-40B4-BE49-F238E27FC236}">
              <a16:creationId xmlns="" xmlns:a16="http://schemas.microsoft.com/office/drawing/2014/main" id="{F90CD4ED-4274-4511-BCAE-A0E64B4E2A4F}"/>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83" name="Text Box 116">
          <a:extLst>
            <a:ext uri="{FF2B5EF4-FFF2-40B4-BE49-F238E27FC236}">
              <a16:creationId xmlns="" xmlns:a16="http://schemas.microsoft.com/office/drawing/2014/main" id="{44E21892-691C-452B-8D26-771F18745E22}"/>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84" name="Text Box 117">
          <a:extLst>
            <a:ext uri="{FF2B5EF4-FFF2-40B4-BE49-F238E27FC236}">
              <a16:creationId xmlns="" xmlns:a16="http://schemas.microsoft.com/office/drawing/2014/main" id="{C28325A9-2832-4115-9708-82DA436BE66D}"/>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85" name="Text Box 118">
          <a:extLst>
            <a:ext uri="{FF2B5EF4-FFF2-40B4-BE49-F238E27FC236}">
              <a16:creationId xmlns="" xmlns:a16="http://schemas.microsoft.com/office/drawing/2014/main" id="{0821B000-892F-4545-91A6-D1139E564842}"/>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86" name="Text Box 119">
          <a:extLst>
            <a:ext uri="{FF2B5EF4-FFF2-40B4-BE49-F238E27FC236}">
              <a16:creationId xmlns="" xmlns:a16="http://schemas.microsoft.com/office/drawing/2014/main" id="{3D11BDFF-8B1C-4607-96F7-98BEECF91781}"/>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187" name="Text Box 120">
          <a:extLst>
            <a:ext uri="{FF2B5EF4-FFF2-40B4-BE49-F238E27FC236}">
              <a16:creationId xmlns="" xmlns:a16="http://schemas.microsoft.com/office/drawing/2014/main" id="{4B01E2C7-3A50-4A87-90D2-EE9610EF0700}"/>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88" name="Text Box 121">
          <a:extLst>
            <a:ext uri="{FF2B5EF4-FFF2-40B4-BE49-F238E27FC236}">
              <a16:creationId xmlns="" xmlns:a16="http://schemas.microsoft.com/office/drawing/2014/main" id="{660A1113-3BDF-4F52-90F3-9194E9A52E4B}"/>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89" name="Text Box 122">
          <a:extLst>
            <a:ext uri="{FF2B5EF4-FFF2-40B4-BE49-F238E27FC236}">
              <a16:creationId xmlns="" xmlns:a16="http://schemas.microsoft.com/office/drawing/2014/main" id="{AFDB454F-A972-4CD4-8AC0-BFCD7E8BE439}"/>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90" name="Text Box 123">
          <a:extLst>
            <a:ext uri="{FF2B5EF4-FFF2-40B4-BE49-F238E27FC236}">
              <a16:creationId xmlns="" xmlns:a16="http://schemas.microsoft.com/office/drawing/2014/main" id="{A4F225A5-776C-4526-93FB-BDB1D7818DEE}"/>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91" name="Text Box 124">
          <a:extLst>
            <a:ext uri="{FF2B5EF4-FFF2-40B4-BE49-F238E27FC236}">
              <a16:creationId xmlns="" xmlns:a16="http://schemas.microsoft.com/office/drawing/2014/main" id="{3D3A8F7D-C956-4B62-AF91-5C13C32AA107}"/>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92" name="Text Box 125">
          <a:extLst>
            <a:ext uri="{FF2B5EF4-FFF2-40B4-BE49-F238E27FC236}">
              <a16:creationId xmlns="" xmlns:a16="http://schemas.microsoft.com/office/drawing/2014/main" id="{4F72C696-4C2E-4947-95C9-40EF3DBD36DF}"/>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93" name="Text Box 126">
          <a:extLst>
            <a:ext uri="{FF2B5EF4-FFF2-40B4-BE49-F238E27FC236}">
              <a16:creationId xmlns="" xmlns:a16="http://schemas.microsoft.com/office/drawing/2014/main" id="{0E50C69C-EB16-4A92-9DAE-F2DB6ED06476}"/>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94" name="Text Box 127">
          <a:extLst>
            <a:ext uri="{FF2B5EF4-FFF2-40B4-BE49-F238E27FC236}">
              <a16:creationId xmlns="" xmlns:a16="http://schemas.microsoft.com/office/drawing/2014/main" id="{4B355035-DBA2-446F-9DB3-20B0F388DDF4}"/>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195" name="Text Box 128">
          <a:extLst>
            <a:ext uri="{FF2B5EF4-FFF2-40B4-BE49-F238E27FC236}">
              <a16:creationId xmlns="" xmlns:a16="http://schemas.microsoft.com/office/drawing/2014/main" id="{4F330AC8-8540-4481-B71A-69788BD6D72E}"/>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96" name="Text Box 129">
          <a:extLst>
            <a:ext uri="{FF2B5EF4-FFF2-40B4-BE49-F238E27FC236}">
              <a16:creationId xmlns="" xmlns:a16="http://schemas.microsoft.com/office/drawing/2014/main" id="{FB00C15B-8E28-4522-89B7-220A10DE0020}"/>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97" name="Text Box 130">
          <a:extLst>
            <a:ext uri="{FF2B5EF4-FFF2-40B4-BE49-F238E27FC236}">
              <a16:creationId xmlns="" xmlns:a16="http://schemas.microsoft.com/office/drawing/2014/main" id="{0EDF203F-9650-469A-8C51-E1E2F283B3ED}"/>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98" name="Text Box 131">
          <a:extLst>
            <a:ext uri="{FF2B5EF4-FFF2-40B4-BE49-F238E27FC236}">
              <a16:creationId xmlns="" xmlns:a16="http://schemas.microsoft.com/office/drawing/2014/main" id="{DA25B648-5E08-43E8-AB8B-AEEEDD324893}"/>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199" name="Text Box 132">
          <a:extLst>
            <a:ext uri="{FF2B5EF4-FFF2-40B4-BE49-F238E27FC236}">
              <a16:creationId xmlns="" xmlns:a16="http://schemas.microsoft.com/office/drawing/2014/main" id="{4BEE9CF3-7C32-454F-AAEA-B47C1D4E0582}"/>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00" name="Text Box 133">
          <a:extLst>
            <a:ext uri="{FF2B5EF4-FFF2-40B4-BE49-F238E27FC236}">
              <a16:creationId xmlns="" xmlns:a16="http://schemas.microsoft.com/office/drawing/2014/main" id="{9F89B8D3-7A71-4B92-9E90-A5BBD34A0BE9}"/>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01" name="Text Box 134">
          <a:extLst>
            <a:ext uri="{FF2B5EF4-FFF2-40B4-BE49-F238E27FC236}">
              <a16:creationId xmlns="" xmlns:a16="http://schemas.microsoft.com/office/drawing/2014/main" id="{C8A7AA80-725E-47C2-9D59-2C89FACBA2C8}"/>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02" name="Text Box 135">
          <a:extLst>
            <a:ext uri="{FF2B5EF4-FFF2-40B4-BE49-F238E27FC236}">
              <a16:creationId xmlns="" xmlns:a16="http://schemas.microsoft.com/office/drawing/2014/main" id="{9BA2CBC1-09BC-4479-8949-62930D1DA170}"/>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03" name="Text Box 136">
          <a:extLst>
            <a:ext uri="{FF2B5EF4-FFF2-40B4-BE49-F238E27FC236}">
              <a16:creationId xmlns="" xmlns:a16="http://schemas.microsoft.com/office/drawing/2014/main" id="{A21030A4-A1CB-468F-8E9A-66A65FB803CC}"/>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204" name="Text Box 137">
          <a:extLst>
            <a:ext uri="{FF2B5EF4-FFF2-40B4-BE49-F238E27FC236}">
              <a16:creationId xmlns="" xmlns:a16="http://schemas.microsoft.com/office/drawing/2014/main" id="{3303B7B2-D82D-43A8-A720-309017D1A9EA}"/>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205" name="Text Box 138">
          <a:extLst>
            <a:ext uri="{FF2B5EF4-FFF2-40B4-BE49-F238E27FC236}">
              <a16:creationId xmlns="" xmlns:a16="http://schemas.microsoft.com/office/drawing/2014/main" id="{E1181E61-02EF-43F4-9B58-817500855AEA}"/>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206" name="Text Box 139">
          <a:extLst>
            <a:ext uri="{FF2B5EF4-FFF2-40B4-BE49-F238E27FC236}">
              <a16:creationId xmlns="" xmlns:a16="http://schemas.microsoft.com/office/drawing/2014/main" id="{7F300124-F6B4-4632-B13D-B72E2FC83F1C}"/>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207" name="Text Box 140">
          <a:extLst>
            <a:ext uri="{FF2B5EF4-FFF2-40B4-BE49-F238E27FC236}">
              <a16:creationId xmlns="" xmlns:a16="http://schemas.microsoft.com/office/drawing/2014/main" id="{263021BA-482C-402C-B9CA-5D69C97B7B31}"/>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208" name="Text Box 141">
          <a:extLst>
            <a:ext uri="{FF2B5EF4-FFF2-40B4-BE49-F238E27FC236}">
              <a16:creationId xmlns="" xmlns:a16="http://schemas.microsoft.com/office/drawing/2014/main" id="{664379CE-7A39-4B7B-8992-F34D49A34D6B}"/>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00025"/>
    <xdr:sp macro="" textlink="">
      <xdr:nvSpPr>
        <xdr:cNvPr id="1209" name="Text Box 142">
          <a:extLst>
            <a:ext uri="{FF2B5EF4-FFF2-40B4-BE49-F238E27FC236}">
              <a16:creationId xmlns="" xmlns:a16="http://schemas.microsoft.com/office/drawing/2014/main" id="{72508EB7-2E98-4D9E-9441-2AD81A719348}"/>
            </a:ext>
          </a:extLst>
        </xdr:cNvPr>
        <xdr:cNvSpPr txBox="1">
          <a:spLocks noChangeArrowheads="1"/>
        </xdr:cNvSpPr>
      </xdr:nvSpPr>
      <xdr:spPr bwMode="auto">
        <a:xfrm>
          <a:off x="16916400" y="49834800"/>
          <a:ext cx="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10" name="Text Box 143">
          <a:extLst>
            <a:ext uri="{FF2B5EF4-FFF2-40B4-BE49-F238E27FC236}">
              <a16:creationId xmlns="" xmlns:a16="http://schemas.microsoft.com/office/drawing/2014/main" id="{7955EE66-119F-4CDE-83D6-35162C0F39ED}"/>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11" name="Text Box 144">
          <a:extLst>
            <a:ext uri="{FF2B5EF4-FFF2-40B4-BE49-F238E27FC236}">
              <a16:creationId xmlns="" xmlns:a16="http://schemas.microsoft.com/office/drawing/2014/main" id="{4A437CD4-BF54-4651-83F0-45BA62B6D6E4}"/>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85750"/>
    <xdr:sp macro="" textlink="">
      <xdr:nvSpPr>
        <xdr:cNvPr id="1212" name="Text Box 145">
          <a:extLst>
            <a:ext uri="{FF2B5EF4-FFF2-40B4-BE49-F238E27FC236}">
              <a16:creationId xmlns="" xmlns:a16="http://schemas.microsoft.com/office/drawing/2014/main" id="{094F41E1-E2CC-40C7-96CD-EC3CF0BB3414}"/>
            </a:ext>
          </a:extLst>
        </xdr:cNvPr>
        <xdr:cNvSpPr txBox="1">
          <a:spLocks noChangeArrowheads="1"/>
        </xdr:cNvSpPr>
      </xdr:nvSpPr>
      <xdr:spPr bwMode="auto">
        <a:xfrm>
          <a:off x="16916400" y="49834800"/>
          <a:ext cx="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85750"/>
    <xdr:sp macro="" textlink="">
      <xdr:nvSpPr>
        <xdr:cNvPr id="1213" name="Text Box 146">
          <a:extLst>
            <a:ext uri="{FF2B5EF4-FFF2-40B4-BE49-F238E27FC236}">
              <a16:creationId xmlns="" xmlns:a16="http://schemas.microsoft.com/office/drawing/2014/main" id="{B47E9B32-2A8E-4C78-BD28-F25AAE4431D5}"/>
            </a:ext>
          </a:extLst>
        </xdr:cNvPr>
        <xdr:cNvSpPr txBox="1">
          <a:spLocks noChangeArrowheads="1"/>
        </xdr:cNvSpPr>
      </xdr:nvSpPr>
      <xdr:spPr bwMode="auto">
        <a:xfrm>
          <a:off x="16916400" y="49834800"/>
          <a:ext cx="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14" name="Text Box 147">
          <a:extLst>
            <a:ext uri="{FF2B5EF4-FFF2-40B4-BE49-F238E27FC236}">
              <a16:creationId xmlns="" xmlns:a16="http://schemas.microsoft.com/office/drawing/2014/main" id="{4CFB2A16-81BC-4135-8ADC-0E1BF97EA6F2}"/>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15" name="Text Box 148">
          <a:extLst>
            <a:ext uri="{FF2B5EF4-FFF2-40B4-BE49-F238E27FC236}">
              <a16:creationId xmlns="" xmlns:a16="http://schemas.microsoft.com/office/drawing/2014/main" id="{5491BDCF-CB99-463F-B45F-F84FD29C9691}"/>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16" name="Text Box 149">
          <a:extLst>
            <a:ext uri="{FF2B5EF4-FFF2-40B4-BE49-F238E27FC236}">
              <a16:creationId xmlns="" xmlns:a16="http://schemas.microsoft.com/office/drawing/2014/main" id="{9A8AA2E9-B9CD-4419-A6B8-2170D362D24E}"/>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17" name="Text Box 150">
          <a:extLst>
            <a:ext uri="{FF2B5EF4-FFF2-40B4-BE49-F238E27FC236}">
              <a16:creationId xmlns="" xmlns:a16="http://schemas.microsoft.com/office/drawing/2014/main" id="{D3D881A9-877F-49DA-B42A-C3FE75415478}"/>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18" name="Text Box 151">
          <a:extLst>
            <a:ext uri="{FF2B5EF4-FFF2-40B4-BE49-F238E27FC236}">
              <a16:creationId xmlns="" xmlns:a16="http://schemas.microsoft.com/office/drawing/2014/main" id="{EC633AD9-2CDF-4182-8EF6-C94AC8921BFD}"/>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19" name="Text Box 152">
          <a:extLst>
            <a:ext uri="{FF2B5EF4-FFF2-40B4-BE49-F238E27FC236}">
              <a16:creationId xmlns="" xmlns:a16="http://schemas.microsoft.com/office/drawing/2014/main" id="{B107121F-221D-40FB-897D-03B32FACB1ED}"/>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20" name="Text Box 153">
          <a:extLst>
            <a:ext uri="{FF2B5EF4-FFF2-40B4-BE49-F238E27FC236}">
              <a16:creationId xmlns="" xmlns:a16="http://schemas.microsoft.com/office/drawing/2014/main" id="{3C84D741-4A11-4C68-A120-66DC216F2D88}"/>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21" name="Text Box 154">
          <a:extLst>
            <a:ext uri="{FF2B5EF4-FFF2-40B4-BE49-F238E27FC236}">
              <a16:creationId xmlns="" xmlns:a16="http://schemas.microsoft.com/office/drawing/2014/main" id="{6A95648B-2BB7-4B73-B458-2A00D5B643F9}"/>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22" name="Text Box 155">
          <a:extLst>
            <a:ext uri="{FF2B5EF4-FFF2-40B4-BE49-F238E27FC236}">
              <a16:creationId xmlns="" xmlns:a16="http://schemas.microsoft.com/office/drawing/2014/main" id="{17857FB5-2E60-4EF2-8A0B-404B88DAE86F}"/>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23" name="Text Box 156">
          <a:extLst>
            <a:ext uri="{FF2B5EF4-FFF2-40B4-BE49-F238E27FC236}">
              <a16:creationId xmlns="" xmlns:a16="http://schemas.microsoft.com/office/drawing/2014/main" id="{98EC49F4-D506-457C-86F7-1503A94FCEB2}"/>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24" name="Text Box 157">
          <a:extLst>
            <a:ext uri="{FF2B5EF4-FFF2-40B4-BE49-F238E27FC236}">
              <a16:creationId xmlns="" xmlns:a16="http://schemas.microsoft.com/office/drawing/2014/main" id="{E1499F35-202E-45E9-A4E2-440AE8633C6C}"/>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52400"/>
    <xdr:sp macro="" textlink="">
      <xdr:nvSpPr>
        <xdr:cNvPr id="1225" name="Text Box 158">
          <a:extLst>
            <a:ext uri="{FF2B5EF4-FFF2-40B4-BE49-F238E27FC236}">
              <a16:creationId xmlns="" xmlns:a16="http://schemas.microsoft.com/office/drawing/2014/main" id="{22F3A5A4-976B-4C85-B221-45F4478EE293}"/>
            </a:ext>
          </a:extLst>
        </xdr:cNvPr>
        <xdr:cNvSpPr txBox="1">
          <a:spLocks noChangeArrowheads="1"/>
        </xdr:cNvSpPr>
      </xdr:nvSpPr>
      <xdr:spPr bwMode="auto">
        <a:xfrm>
          <a:off x="16916400" y="49834800"/>
          <a:ext cx="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26" name="Text Box 214">
          <a:extLst>
            <a:ext uri="{FF2B5EF4-FFF2-40B4-BE49-F238E27FC236}">
              <a16:creationId xmlns="" xmlns:a16="http://schemas.microsoft.com/office/drawing/2014/main" id="{73A7B4BA-6A6B-4D0C-8F00-466B9B58A0E4}"/>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180975"/>
    <xdr:sp macro="" textlink="">
      <xdr:nvSpPr>
        <xdr:cNvPr id="1227" name="Text Box 215">
          <a:extLst>
            <a:ext uri="{FF2B5EF4-FFF2-40B4-BE49-F238E27FC236}">
              <a16:creationId xmlns="" xmlns:a16="http://schemas.microsoft.com/office/drawing/2014/main" id="{D40C875C-DCDD-48C8-8F96-262A4A7FABDB}"/>
            </a:ext>
          </a:extLst>
        </xdr:cNvPr>
        <xdr:cNvSpPr txBox="1">
          <a:spLocks noChangeArrowheads="1"/>
        </xdr:cNvSpPr>
      </xdr:nvSpPr>
      <xdr:spPr bwMode="auto">
        <a:xfrm>
          <a:off x="16916400" y="49834800"/>
          <a:ext cx="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223</xdr:row>
      <xdr:rowOff>0</xdr:rowOff>
    </xdr:from>
    <xdr:ext cx="0" cy="243791"/>
    <xdr:sp macro="" textlink="">
      <xdr:nvSpPr>
        <xdr:cNvPr id="1228" name="Text Box 805">
          <a:extLst>
            <a:ext uri="{FF2B5EF4-FFF2-40B4-BE49-F238E27FC236}">
              <a16:creationId xmlns="" xmlns:a16="http://schemas.microsoft.com/office/drawing/2014/main" id="{008CAD9D-EC89-43B2-8DD1-4C7FEE771167}"/>
            </a:ext>
          </a:extLst>
        </xdr:cNvPr>
        <xdr:cNvSpPr txBox="1">
          <a:spLocks noChangeArrowheads="1"/>
        </xdr:cNvSpPr>
      </xdr:nvSpPr>
      <xdr:spPr bwMode="auto">
        <a:xfrm flipH="1">
          <a:off x="15859125" y="49834800"/>
          <a:ext cx="0" cy="243791"/>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223</xdr:row>
      <xdr:rowOff>0</xdr:rowOff>
    </xdr:from>
    <xdr:ext cx="0" cy="219075"/>
    <xdr:sp macro="" textlink="">
      <xdr:nvSpPr>
        <xdr:cNvPr id="1229" name="Text Box 67">
          <a:extLst>
            <a:ext uri="{FF2B5EF4-FFF2-40B4-BE49-F238E27FC236}">
              <a16:creationId xmlns="" xmlns:a16="http://schemas.microsoft.com/office/drawing/2014/main" id="{DC7A0FC6-4E73-4F1D-867A-3734D34DD225}"/>
            </a:ext>
          </a:extLst>
        </xdr:cNvPr>
        <xdr:cNvSpPr txBox="1">
          <a:spLocks noChangeArrowheads="1"/>
        </xdr:cNvSpPr>
      </xdr:nvSpPr>
      <xdr:spPr bwMode="auto">
        <a:xfrm>
          <a:off x="16916400" y="49834800"/>
          <a:ext cx="0" cy="219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19075"/>
    <xdr:sp macro="" textlink="">
      <xdr:nvSpPr>
        <xdr:cNvPr id="1230" name="Text Box 68">
          <a:extLst>
            <a:ext uri="{FF2B5EF4-FFF2-40B4-BE49-F238E27FC236}">
              <a16:creationId xmlns="" xmlns:a16="http://schemas.microsoft.com/office/drawing/2014/main" id="{563E6248-037E-4253-9F7C-CDCADB4D37F8}"/>
            </a:ext>
          </a:extLst>
        </xdr:cNvPr>
        <xdr:cNvSpPr txBox="1">
          <a:spLocks noChangeArrowheads="1"/>
        </xdr:cNvSpPr>
      </xdr:nvSpPr>
      <xdr:spPr bwMode="auto">
        <a:xfrm>
          <a:off x="16916400" y="49834800"/>
          <a:ext cx="0" cy="219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19075"/>
    <xdr:sp macro="" textlink="">
      <xdr:nvSpPr>
        <xdr:cNvPr id="1231" name="Text Box 145">
          <a:extLst>
            <a:ext uri="{FF2B5EF4-FFF2-40B4-BE49-F238E27FC236}">
              <a16:creationId xmlns="" xmlns:a16="http://schemas.microsoft.com/office/drawing/2014/main" id="{6ECD9444-942B-4891-BC17-C11573B55AA8}"/>
            </a:ext>
          </a:extLst>
        </xdr:cNvPr>
        <xdr:cNvSpPr txBox="1">
          <a:spLocks noChangeArrowheads="1"/>
        </xdr:cNvSpPr>
      </xdr:nvSpPr>
      <xdr:spPr bwMode="auto">
        <a:xfrm>
          <a:off x="16916400" y="49834800"/>
          <a:ext cx="0" cy="219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0" cy="219075"/>
    <xdr:sp macro="" textlink="">
      <xdr:nvSpPr>
        <xdr:cNvPr id="1232" name="Text Box 146">
          <a:extLst>
            <a:ext uri="{FF2B5EF4-FFF2-40B4-BE49-F238E27FC236}">
              <a16:creationId xmlns="" xmlns:a16="http://schemas.microsoft.com/office/drawing/2014/main" id="{7BACA8C1-55F9-4721-BDEB-FB9CCC605A8F}"/>
            </a:ext>
          </a:extLst>
        </xdr:cNvPr>
        <xdr:cNvSpPr txBox="1">
          <a:spLocks noChangeArrowheads="1"/>
        </xdr:cNvSpPr>
      </xdr:nvSpPr>
      <xdr:spPr bwMode="auto">
        <a:xfrm>
          <a:off x="16916400" y="49834800"/>
          <a:ext cx="0" cy="219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33" name="Text Box 72">
          <a:extLst>
            <a:ext uri="{FF2B5EF4-FFF2-40B4-BE49-F238E27FC236}">
              <a16:creationId xmlns="" xmlns:a16="http://schemas.microsoft.com/office/drawing/2014/main" id="{2EDDB2D7-3FFA-4BF5-8DC1-57CFF8694203}"/>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34" name="Text Box 73">
          <a:extLst>
            <a:ext uri="{FF2B5EF4-FFF2-40B4-BE49-F238E27FC236}">
              <a16:creationId xmlns="" xmlns:a16="http://schemas.microsoft.com/office/drawing/2014/main" id="{CFD4102A-94CE-4B51-98C5-A7FB20B8CA36}"/>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9550"/>
    <xdr:sp macro="" textlink="">
      <xdr:nvSpPr>
        <xdr:cNvPr id="1235" name="Text Box 19">
          <a:extLst>
            <a:ext uri="{FF2B5EF4-FFF2-40B4-BE49-F238E27FC236}">
              <a16:creationId xmlns="" xmlns:a16="http://schemas.microsoft.com/office/drawing/2014/main" id="{ABB9512F-2889-41A4-9FBB-9C4F9AEF3BBD}"/>
            </a:ext>
          </a:extLst>
        </xdr:cNvPr>
        <xdr:cNvSpPr txBox="1">
          <a:spLocks noChangeArrowheads="1"/>
        </xdr:cNvSpPr>
      </xdr:nvSpPr>
      <xdr:spPr bwMode="auto">
        <a:xfrm>
          <a:off x="16916400" y="49834800"/>
          <a:ext cx="76200" cy="209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9550"/>
    <xdr:sp macro="" textlink="">
      <xdr:nvSpPr>
        <xdr:cNvPr id="1236" name="Text Box 20">
          <a:extLst>
            <a:ext uri="{FF2B5EF4-FFF2-40B4-BE49-F238E27FC236}">
              <a16:creationId xmlns="" xmlns:a16="http://schemas.microsoft.com/office/drawing/2014/main" id="{DEB2F22A-7487-40BB-8524-4C4DEF4FCAA5}"/>
            </a:ext>
          </a:extLst>
        </xdr:cNvPr>
        <xdr:cNvSpPr txBox="1">
          <a:spLocks noChangeArrowheads="1"/>
        </xdr:cNvSpPr>
      </xdr:nvSpPr>
      <xdr:spPr bwMode="auto">
        <a:xfrm>
          <a:off x="16916400" y="49834800"/>
          <a:ext cx="76200" cy="209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37" name="Text Box 21">
          <a:extLst>
            <a:ext uri="{FF2B5EF4-FFF2-40B4-BE49-F238E27FC236}">
              <a16:creationId xmlns="" xmlns:a16="http://schemas.microsoft.com/office/drawing/2014/main" id="{8143B9BB-9737-427E-B4FA-575F33318412}"/>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38" name="Text Box 22">
          <a:extLst>
            <a:ext uri="{FF2B5EF4-FFF2-40B4-BE49-F238E27FC236}">
              <a16:creationId xmlns="" xmlns:a16="http://schemas.microsoft.com/office/drawing/2014/main" id="{34D0065E-1E29-4AA1-BCD4-A5308B4022BD}"/>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39" name="Text Box 23">
          <a:extLst>
            <a:ext uri="{FF2B5EF4-FFF2-40B4-BE49-F238E27FC236}">
              <a16:creationId xmlns="" xmlns:a16="http://schemas.microsoft.com/office/drawing/2014/main" id="{C73F7B93-D2C6-4B90-97CF-1D2B705CCDFC}"/>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40" name="Text Box 24">
          <a:extLst>
            <a:ext uri="{FF2B5EF4-FFF2-40B4-BE49-F238E27FC236}">
              <a16:creationId xmlns="" xmlns:a16="http://schemas.microsoft.com/office/drawing/2014/main" id="{63C6817A-CBE0-4BF2-B791-8DD48CEE5E00}"/>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41" name="Text Box 25">
          <a:extLst>
            <a:ext uri="{FF2B5EF4-FFF2-40B4-BE49-F238E27FC236}">
              <a16:creationId xmlns="" xmlns:a16="http://schemas.microsoft.com/office/drawing/2014/main" id="{71B1E136-DED2-4F88-A193-1285DAC0510F}"/>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42" name="Text Box 26">
          <a:extLst>
            <a:ext uri="{FF2B5EF4-FFF2-40B4-BE49-F238E27FC236}">
              <a16:creationId xmlns="" xmlns:a16="http://schemas.microsoft.com/office/drawing/2014/main" id="{B42AD8C1-B41C-4515-8B01-C6CE9029474B}"/>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43" name="Text Box 27">
          <a:extLst>
            <a:ext uri="{FF2B5EF4-FFF2-40B4-BE49-F238E27FC236}">
              <a16:creationId xmlns="" xmlns:a16="http://schemas.microsoft.com/office/drawing/2014/main" id="{FC8BF341-E690-4518-B8B0-796250F844F4}"/>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44" name="Text Box 28">
          <a:extLst>
            <a:ext uri="{FF2B5EF4-FFF2-40B4-BE49-F238E27FC236}">
              <a16:creationId xmlns="" xmlns:a16="http://schemas.microsoft.com/office/drawing/2014/main" id="{68C67E43-4AE4-4982-BA6E-7A2E20BE3698}"/>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45" name="Text Box 29">
          <a:extLst>
            <a:ext uri="{FF2B5EF4-FFF2-40B4-BE49-F238E27FC236}">
              <a16:creationId xmlns="" xmlns:a16="http://schemas.microsoft.com/office/drawing/2014/main" id="{CCBED5CE-28AE-45E4-BA24-FC21ACA74BD8}"/>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46" name="Text Box 30">
          <a:extLst>
            <a:ext uri="{FF2B5EF4-FFF2-40B4-BE49-F238E27FC236}">
              <a16:creationId xmlns="" xmlns:a16="http://schemas.microsoft.com/office/drawing/2014/main" id="{295356F0-61E0-41D6-A2A1-0D8EC94793FF}"/>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47" name="Text Box 31">
          <a:extLst>
            <a:ext uri="{FF2B5EF4-FFF2-40B4-BE49-F238E27FC236}">
              <a16:creationId xmlns="" xmlns:a16="http://schemas.microsoft.com/office/drawing/2014/main" id="{A036E209-8F59-4AB9-B6C8-BF962996A5E8}"/>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48" name="Text Box 32">
          <a:extLst>
            <a:ext uri="{FF2B5EF4-FFF2-40B4-BE49-F238E27FC236}">
              <a16:creationId xmlns="" xmlns:a16="http://schemas.microsoft.com/office/drawing/2014/main" id="{1B652952-8949-4F10-9DA9-F6A0189E6AAB}"/>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49" name="Text Box 33">
          <a:extLst>
            <a:ext uri="{FF2B5EF4-FFF2-40B4-BE49-F238E27FC236}">
              <a16:creationId xmlns="" xmlns:a16="http://schemas.microsoft.com/office/drawing/2014/main" id="{21A5042A-2EFA-41DE-B0EF-116D09CEB100}"/>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50" name="Text Box 34">
          <a:extLst>
            <a:ext uri="{FF2B5EF4-FFF2-40B4-BE49-F238E27FC236}">
              <a16:creationId xmlns="" xmlns:a16="http://schemas.microsoft.com/office/drawing/2014/main" id="{CFE498E0-175C-482C-B8E3-C9AFF3C02977}"/>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51" name="Text Box 35">
          <a:extLst>
            <a:ext uri="{FF2B5EF4-FFF2-40B4-BE49-F238E27FC236}">
              <a16:creationId xmlns="" xmlns:a16="http://schemas.microsoft.com/office/drawing/2014/main" id="{DA226AE9-17DC-4CE5-B1C4-9B4D9B784EE6}"/>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52" name="Text Box 36">
          <a:extLst>
            <a:ext uri="{FF2B5EF4-FFF2-40B4-BE49-F238E27FC236}">
              <a16:creationId xmlns="" xmlns:a16="http://schemas.microsoft.com/office/drawing/2014/main" id="{52502D48-D244-454B-A005-83F13EE01CA7}"/>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53" name="Text Box 37">
          <a:extLst>
            <a:ext uri="{FF2B5EF4-FFF2-40B4-BE49-F238E27FC236}">
              <a16:creationId xmlns="" xmlns:a16="http://schemas.microsoft.com/office/drawing/2014/main" id="{BFACA9B7-FC83-438A-8D82-AEB0DEA91447}"/>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54" name="Text Box 38">
          <a:extLst>
            <a:ext uri="{FF2B5EF4-FFF2-40B4-BE49-F238E27FC236}">
              <a16:creationId xmlns="" xmlns:a16="http://schemas.microsoft.com/office/drawing/2014/main" id="{B7272B0C-430D-4F1A-81C4-1FFE8A00ED6E}"/>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55" name="Text Box 39">
          <a:extLst>
            <a:ext uri="{FF2B5EF4-FFF2-40B4-BE49-F238E27FC236}">
              <a16:creationId xmlns="" xmlns:a16="http://schemas.microsoft.com/office/drawing/2014/main" id="{30E0A2D5-BEB8-48B5-AB88-D2EE3B75D94E}"/>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56" name="Text Box 40">
          <a:extLst>
            <a:ext uri="{FF2B5EF4-FFF2-40B4-BE49-F238E27FC236}">
              <a16:creationId xmlns="" xmlns:a16="http://schemas.microsoft.com/office/drawing/2014/main" id="{D39942F5-B384-45A3-8072-31F1D8374D1E}"/>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57" name="Text Box 41">
          <a:extLst>
            <a:ext uri="{FF2B5EF4-FFF2-40B4-BE49-F238E27FC236}">
              <a16:creationId xmlns="" xmlns:a16="http://schemas.microsoft.com/office/drawing/2014/main" id="{955E7123-7576-44DC-81D2-C031D338B9ED}"/>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58" name="Text Box 42">
          <a:extLst>
            <a:ext uri="{FF2B5EF4-FFF2-40B4-BE49-F238E27FC236}">
              <a16:creationId xmlns="" xmlns:a16="http://schemas.microsoft.com/office/drawing/2014/main" id="{BC060EA7-DE95-485D-8135-FAFE3B02625C}"/>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59" name="Text Box 43">
          <a:extLst>
            <a:ext uri="{FF2B5EF4-FFF2-40B4-BE49-F238E27FC236}">
              <a16:creationId xmlns="" xmlns:a16="http://schemas.microsoft.com/office/drawing/2014/main" id="{37DB2085-9C06-4469-8B8F-DE961B7AD9AC}"/>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60" name="Text Box 44">
          <a:extLst>
            <a:ext uri="{FF2B5EF4-FFF2-40B4-BE49-F238E27FC236}">
              <a16:creationId xmlns="" xmlns:a16="http://schemas.microsoft.com/office/drawing/2014/main" id="{6F5BDD00-52E2-47DE-9144-1F99BB36DA1E}"/>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61" name="Text Box 45">
          <a:extLst>
            <a:ext uri="{FF2B5EF4-FFF2-40B4-BE49-F238E27FC236}">
              <a16:creationId xmlns="" xmlns:a16="http://schemas.microsoft.com/office/drawing/2014/main" id="{8E5AE312-42F0-40C6-8143-02DFFF22E430}"/>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62" name="Text Box 46">
          <a:extLst>
            <a:ext uri="{FF2B5EF4-FFF2-40B4-BE49-F238E27FC236}">
              <a16:creationId xmlns="" xmlns:a16="http://schemas.microsoft.com/office/drawing/2014/main" id="{50CAC004-1DFF-42D6-B610-A966A4CA2BB9}"/>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63" name="Text Box 47">
          <a:extLst>
            <a:ext uri="{FF2B5EF4-FFF2-40B4-BE49-F238E27FC236}">
              <a16:creationId xmlns="" xmlns:a16="http://schemas.microsoft.com/office/drawing/2014/main" id="{2B1C829F-31DC-45D9-9BFE-CF3BD2476085}"/>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64" name="Text Box 48">
          <a:extLst>
            <a:ext uri="{FF2B5EF4-FFF2-40B4-BE49-F238E27FC236}">
              <a16:creationId xmlns="" xmlns:a16="http://schemas.microsoft.com/office/drawing/2014/main" id="{693D060E-9461-4D2F-B57E-4BC2C3D91A93}"/>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65" name="Text Box 49">
          <a:extLst>
            <a:ext uri="{FF2B5EF4-FFF2-40B4-BE49-F238E27FC236}">
              <a16:creationId xmlns="" xmlns:a16="http://schemas.microsoft.com/office/drawing/2014/main" id="{F326C6D5-C4BF-4895-A289-459B5CB1DBB3}"/>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66" name="Text Box 50">
          <a:extLst>
            <a:ext uri="{FF2B5EF4-FFF2-40B4-BE49-F238E27FC236}">
              <a16:creationId xmlns="" xmlns:a16="http://schemas.microsoft.com/office/drawing/2014/main" id="{9F5FB84E-2EAF-448B-ACCA-23C75F514FEC}"/>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67" name="Text Box 51">
          <a:extLst>
            <a:ext uri="{FF2B5EF4-FFF2-40B4-BE49-F238E27FC236}">
              <a16:creationId xmlns="" xmlns:a16="http://schemas.microsoft.com/office/drawing/2014/main" id="{EC025E66-8775-4461-BF89-4218ECFE7527}"/>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68" name="Text Box 52">
          <a:extLst>
            <a:ext uri="{FF2B5EF4-FFF2-40B4-BE49-F238E27FC236}">
              <a16:creationId xmlns="" xmlns:a16="http://schemas.microsoft.com/office/drawing/2014/main" id="{E0645CB1-D9D0-4FFC-88E4-C5F7A5E94886}"/>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69" name="Text Box 53">
          <a:extLst>
            <a:ext uri="{FF2B5EF4-FFF2-40B4-BE49-F238E27FC236}">
              <a16:creationId xmlns="" xmlns:a16="http://schemas.microsoft.com/office/drawing/2014/main" id="{E39EAB7C-20A1-4727-BAA8-4A372318EF1E}"/>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70" name="Text Box 54">
          <a:extLst>
            <a:ext uri="{FF2B5EF4-FFF2-40B4-BE49-F238E27FC236}">
              <a16:creationId xmlns="" xmlns:a16="http://schemas.microsoft.com/office/drawing/2014/main" id="{8A57A345-2D8F-4EB4-B357-DBEE6285138E}"/>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71" name="Text Box 55">
          <a:extLst>
            <a:ext uri="{FF2B5EF4-FFF2-40B4-BE49-F238E27FC236}">
              <a16:creationId xmlns="" xmlns:a16="http://schemas.microsoft.com/office/drawing/2014/main" id="{FB2EC527-B80A-4DE5-BCC2-A0B3A36644E6}"/>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72" name="Text Box 56">
          <a:extLst>
            <a:ext uri="{FF2B5EF4-FFF2-40B4-BE49-F238E27FC236}">
              <a16:creationId xmlns="" xmlns:a16="http://schemas.microsoft.com/office/drawing/2014/main" id="{CAEAA01C-7880-4CA7-9B34-7B757259A37E}"/>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73" name="Text Box 57">
          <a:extLst>
            <a:ext uri="{FF2B5EF4-FFF2-40B4-BE49-F238E27FC236}">
              <a16:creationId xmlns="" xmlns:a16="http://schemas.microsoft.com/office/drawing/2014/main" id="{C71C6BE8-DD39-45A4-A766-D69AD3940C7D}"/>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74" name="Text Box 58">
          <a:extLst>
            <a:ext uri="{FF2B5EF4-FFF2-40B4-BE49-F238E27FC236}">
              <a16:creationId xmlns="" xmlns:a16="http://schemas.microsoft.com/office/drawing/2014/main" id="{DF125D11-F4F3-4D43-B109-3648479E4C15}"/>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75" name="Text Box 59">
          <a:extLst>
            <a:ext uri="{FF2B5EF4-FFF2-40B4-BE49-F238E27FC236}">
              <a16:creationId xmlns="" xmlns:a16="http://schemas.microsoft.com/office/drawing/2014/main" id="{57C818E6-DC09-4181-8802-C0DDC2871473}"/>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76" name="Text Box 60">
          <a:extLst>
            <a:ext uri="{FF2B5EF4-FFF2-40B4-BE49-F238E27FC236}">
              <a16:creationId xmlns="" xmlns:a16="http://schemas.microsoft.com/office/drawing/2014/main" id="{2C537FF2-9923-4260-BE88-C38408C91BF5}"/>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77" name="Text Box 61">
          <a:extLst>
            <a:ext uri="{FF2B5EF4-FFF2-40B4-BE49-F238E27FC236}">
              <a16:creationId xmlns="" xmlns:a16="http://schemas.microsoft.com/office/drawing/2014/main" id="{2C351306-2BB9-4AC1-8357-8B48E4D4871B}"/>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78" name="Text Box 62">
          <a:extLst>
            <a:ext uri="{FF2B5EF4-FFF2-40B4-BE49-F238E27FC236}">
              <a16:creationId xmlns="" xmlns:a16="http://schemas.microsoft.com/office/drawing/2014/main" id="{5A06170D-D86B-4C86-A8FB-FD6CD8509876}"/>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79" name="Text Box 63">
          <a:extLst>
            <a:ext uri="{FF2B5EF4-FFF2-40B4-BE49-F238E27FC236}">
              <a16:creationId xmlns="" xmlns:a16="http://schemas.microsoft.com/office/drawing/2014/main" id="{10D53779-B89B-4D90-A7C6-FBF8E57010FB}"/>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80" name="Text Box 64">
          <a:extLst>
            <a:ext uri="{FF2B5EF4-FFF2-40B4-BE49-F238E27FC236}">
              <a16:creationId xmlns="" xmlns:a16="http://schemas.microsoft.com/office/drawing/2014/main" id="{0D9E0685-AAE8-4BAA-BD5C-5932BE25AA93}"/>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81" name="Text Box 65">
          <a:extLst>
            <a:ext uri="{FF2B5EF4-FFF2-40B4-BE49-F238E27FC236}">
              <a16:creationId xmlns="" xmlns:a16="http://schemas.microsoft.com/office/drawing/2014/main" id="{EA8961A0-7647-4A1C-ADC0-1C9DD072B4A3}"/>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82" name="Text Box 66">
          <a:extLst>
            <a:ext uri="{FF2B5EF4-FFF2-40B4-BE49-F238E27FC236}">
              <a16:creationId xmlns="" xmlns:a16="http://schemas.microsoft.com/office/drawing/2014/main" id="{B927301E-EB57-41D3-A430-23EA46763613}"/>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85750"/>
    <xdr:sp macro="" textlink="">
      <xdr:nvSpPr>
        <xdr:cNvPr id="1283" name="Text Box 67">
          <a:extLst>
            <a:ext uri="{FF2B5EF4-FFF2-40B4-BE49-F238E27FC236}">
              <a16:creationId xmlns="" xmlns:a16="http://schemas.microsoft.com/office/drawing/2014/main" id="{73A3F593-F546-4A4E-BFF5-77BFD7CCCE23}"/>
            </a:ext>
          </a:extLst>
        </xdr:cNvPr>
        <xdr:cNvSpPr txBox="1">
          <a:spLocks noChangeArrowheads="1"/>
        </xdr:cNvSpPr>
      </xdr:nvSpPr>
      <xdr:spPr bwMode="auto">
        <a:xfrm>
          <a:off x="16916400" y="49834800"/>
          <a:ext cx="7620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85750"/>
    <xdr:sp macro="" textlink="">
      <xdr:nvSpPr>
        <xdr:cNvPr id="1284" name="Text Box 68">
          <a:extLst>
            <a:ext uri="{FF2B5EF4-FFF2-40B4-BE49-F238E27FC236}">
              <a16:creationId xmlns="" xmlns:a16="http://schemas.microsoft.com/office/drawing/2014/main" id="{1DF7A865-E69F-4C4A-94E9-A0EDFBCCC32E}"/>
            </a:ext>
          </a:extLst>
        </xdr:cNvPr>
        <xdr:cNvSpPr txBox="1">
          <a:spLocks noChangeArrowheads="1"/>
        </xdr:cNvSpPr>
      </xdr:nvSpPr>
      <xdr:spPr bwMode="auto">
        <a:xfrm>
          <a:off x="16916400" y="49834800"/>
          <a:ext cx="7620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85" name="Text Box 69">
          <a:extLst>
            <a:ext uri="{FF2B5EF4-FFF2-40B4-BE49-F238E27FC236}">
              <a16:creationId xmlns="" xmlns:a16="http://schemas.microsoft.com/office/drawing/2014/main" id="{092F6D92-8F22-4FC4-8576-F652EEEB5797}"/>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86" name="Text Box 70">
          <a:extLst>
            <a:ext uri="{FF2B5EF4-FFF2-40B4-BE49-F238E27FC236}">
              <a16:creationId xmlns="" xmlns:a16="http://schemas.microsoft.com/office/drawing/2014/main" id="{1CB8C879-2D0C-48BF-8DF8-104D12A5CE95}"/>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87" name="Text Box 71">
          <a:extLst>
            <a:ext uri="{FF2B5EF4-FFF2-40B4-BE49-F238E27FC236}">
              <a16:creationId xmlns="" xmlns:a16="http://schemas.microsoft.com/office/drawing/2014/main" id="{AB5C1264-C301-417F-98B2-C91F300D4049}"/>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88" name="Text Box 72">
          <a:extLst>
            <a:ext uri="{FF2B5EF4-FFF2-40B4-BE49-F238E27FC236}">
              <a16:creationId xmlns="" xmlns:a16="http://schemas.microsoft.com/office/drawing/2014/main" id="{45505E5A-5D38-4EBF-BBD2-A1A4C2214943}"/>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89" name="Text Box 73">
          <a:extLst>
            <a:ext uri="{FF2B5EF4-FFF2-40B4-BE49-F238E27FC236}">
              <a16:creationId xmlns="" xmlns:a16="http://schemas.microsoft.com/office/drawing/2014/main" id="{D512D0BB-91DB-4B9C-B4EE-49814661CBB1}"/>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90" name="Text Box 74">
          <a:extLst>
            <a:ext uri="{FF2B5EF4-FFF2-40B4-BE49-F238E27FC236}">
              <a16:creationId xmlns="" xmlns:a16="http://schemas.microsoft.com/office/drawing/2014/main" id="{E6CDFC93-E5C5-499E-B071-BFDB3FD71C56}"/>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91" name="Text Box 75">
          <a:extLst>
            <a:ext uri="{FF2B5EF4-FFF2-40B4-BE49-F238E27FC236}">
              <a16:creationId xmlns="" xmlns:a16="http://schemas.microsoft.com/office/drawing/2014/main" id="{66E84D0B-2397-44FB-A3E0-570777FA04CA}"/>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92" name="Text Box 76">
          <a:extLst>
            <a:ext uri="{FF2B5EF4-FFF2-40B4-BE49-F238E27FC236}">
              <a16:creationId xmlns="" xmlns:a16="http://schemas.microsoft.com/office/drawing/2014/main" id="{13EB7E16-0576-42D6-B5B5-AB993A643A80}"/>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93" name="Text Box 77">
          <a:extLst>
            <a:ext uri="{FF2B5EF4-FFF2-40B4-BE49-F238E27FC236}">
              <a16:creationId xmlns="" xmlns:a16="http://schemas.microsoft.com/office/drawing/2014/main" id="{0B492DB7-13D5-46DD-B501-7ACD13B2E4E5}"/>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294" name="Text Box 78">
          <a:extLst>
            <a:ext uri="{FF2B5EF4-FFF2-40B4-BE49-F238E27FC236}">
              <a16:creationId xmlns="" xmlns:a16="http://schemas.microsoft.com/office/drawing/2014/main" id="{7B5B8B4E-04ED-410E-9C2E-D9AEC93CF904}"/>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95" name="Text Box 79">
          <a:extLst>
            <a:ext uri="{FF2B5EF4-FFF2-40B4-BE49-F238E27FC236}">
              <a16:creationId xmlns="" xmlns:a16="http://schemas.microsoft.com/office/drawing/2014/main" id="{25EB989F-1335-48F9-8EDA-63531DE69860}"/>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296" name="Text Box 80">
          <a:extLst>
            <a:ext uri="{FF2B5EF4-FFF2-40B4-BE49-F238E27FC236}">
              <a16:creationId xmlns="" xmlns:a16="http://schemas.microsoft.com/office/drawing/2014/main" id="{2BC78927-4FFB-4630-9501-F22177FB8382}"/>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97" name="Text Box 95">
          <a:extLst>
            <a:ext uri="{FF2B5EF4-FFF2-40B4-BE49-F238E27FC236}">
              <a16:creationId xmlns="" xmlns:a16="http://schemas.microsoft.com/office/drawing/2014/main" id="{207111F9-DD2E-4057-90B2-5B81D53DE5B7}"/>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298" name="Text Box 96">
          <a:extLst>
            <a:ext uri="{FF2B5EF4-FFF2-40B4-BE49-F238E27FC236}">
              <a16:creationId xmlns="" xmlns:a16="http://schemas.microsoft.com/office/drawing/2014/main" id="{5F804DB8-56DE-4EAC-8F28-D2351A61966E}"/>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9550"/>
    <xdr:sp macro="" textlink="">
      <xdr:nvSpPr>
        <xdr:cNvPr id="1299" name="Text Box 97">
          <a:extLst>
            <a:ext uri="{FF2B5EF4-FFF2-40B4-BE49-F238E27FC236}">
              <a16:creationId xmlns="" xmlns:a16="http://schemas.microsoft.com/office/drawing/2014/main" id="{196C8C87-2F85-4C88-8A7C-5FF38AA7671E}"/>
            </a:ext>
          </a:extLst>
        </xdr:cNvPr>
        <xdr:cNvSpPr txBox="1">
          <a:spLocks noChangeArrowheads="1"/>
        </xdr:cNvSpPr>
      </xdr:nvSpPr>
      <xdr:spPr bwMode="auto">
        <a:xfrm>
          <a:off x="16916400" y="49834800"/>
          <a:ext cx="76200" cy="209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9550"/>
    <xdr:sp macro="" textlink="">
      <xdr:nvSpPr>
        <xdr:cNvPr id="1300" name="Text Box 98">
          <a:extLst>
            <a:ext uri="{FF2B5EF4-FFF2-40B4-BE49-F238E27FC236}">
              <a16:creationId xmlns="" xmlns:a16="http://schemas.microsoft.com/office/drawing/2014/main" id="{60A9940B-5A29-4E7F-B54E-13BA82C84E6B}"/>
            </a:ext>
          </a:extLst>
        </xdr:cNvPr>
        <xdr:cNvSpPr txBox="1">
          <a:spLocks noChangeArrowheads="1"/>
        </xdr:cNvSpPr>
      </xdr:nvSpPr>
      <xdr:spPr bwMode="auto">
        <a:xfrm>
          <a:off x="16916400" y="49834800"/>
          <a:ext cx="76200" cy="209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01" name="Text Box 99">
          <a:extLst>
            <a:ext uri="{FF2B5EF4-FFF2-40B4-BE49-F238E27FC236}">
              <a16:creationId xmlns="" xmlns:a16="http://schemas.microsoft.com/office/drawing/2014/main" id="{B55C8BD0-BA5B-415B-9EF3-8345998607A8}"/>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02" name="Text Box 100">
          <a:extLst>
            <a:ext uri="{FF2B5EF4-FFF2-40B4-BE49-F238E27FC236}">
              <a16:creationId xmlns="" xmlns:a16="http://schemas.microsoft.com/office/drawing/2014/main" id="{0034251D-2050-4701-A197-7688E5234DAE}"/>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03" name="Text Box 101">
          <a:extLst>
            <a:ext uri="{FF2B5EF4-FFF2-40B4-BE49-F238E27FC236}">
              <a16:creationId xmlns="" xmlns:a16="http://schemas.microsoft.com/office/drawing/2014/main" id="{140F3F5F-0227-44F5-B0D7-EC8C7D5D6217}"/>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04" name="Text Box 102">
          <a:extLst>
            <a:ext uri="{FF2B5EF4-FFF2-40B4-BE49-F238E27FC236}">
              <a16:creationId xmlns="" xmlns:a16="http://schemas.microsoft.com/office/drawing/2014/main" id="{784BB8CB-6CC9-4671-9423-E72152B261FF}"/>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05" name="Text Box 103">
          <a:extLst>
            <a:ext uri="{FF2B5EF4-FFF2-40B4-BE49-F238E27FC236}">
              <a16:creationId xmlns="" xmlns:a16="http://schemas.microsoft.com/office/drawing/2014/main" id="{A28EFAB8-35AB-41D8-9B27-FD73B3273475}"/>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06" name="Text Box 104">
          <a:extLst>
            <a:ext uri="{FF2B5EF4-FFF2-40B4-BE49-F238E27FC236}">
              <a16:creationId xmlns="" xmlns:a16="http://schemas.microsoft.com/office/drawing/2014/main" id="{B1C9616D-7963-433F-8328-44513614B670}"/>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07" name="Text Box 105">
          <a:extLst>
            <a:ext uri="{FF2B5EF4-FFF2-40B4-BE49-F238E27FC236}">
              <a16:creationId xmlns="" xmlns:a16="http://schemas.microsoft.com/office/drawing/2014/main" id="{302C4F55-D7E3-44B4-9BCC-E0784B8B446B}"/>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08" name="Text Box 106">
          <a:extLst>
            <a:ext uri="{FF2B5EF4-FFF2-40B4-BE49-F238E27FC236}">
              <a16:creationId xmlns="" xmlns:a16="http://schemas.microsoft.com/office/drawing/2014/main" id="{B5812783-F01D-4795-9563-F6C440DD4EDB}"/>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09" name="Text Box 107">
          <a:extLst>
            <a:ext uri="{FF2B5EF4-FFF2-40B4-BE49-F238E27FC236}">
              <a16:creationId xmlns="" xmlns:a16="http://schemas.microsoft.com/office/drawing/2014/main" id="{DD83162D-9D94-456D-81C4-FF38C4382EAF}"/>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10" name="Text Box 108">
          <a:extLst>
            <a:ext uri="{FF2B5EF4-FFF2-40B4-BE49-F238E27FC236}">
              <a16:creationId xmlns="" xmlns:a16="http://schemas.microsoft.com/office/drawing/2014/main" id="{B159110B-EECD-4F76-B85B-7275AE89328D}"/>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11" name="Text Box 109">
          <a:extLst>
            <a:ext uri="{FF2B5EF4-FFF2-40B4-BE49-F238E27FC236}">
              <a16:creationId xmlns="" xmlns:a16="http://schemas.microsoft.com/office/drawing/2014/main" id="{C8EAEF57-7AAD-4E59-A37D-1A6F13239F2E}"/>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12" name="Text Box 110">
          <a:extLst>
            <a:ext uri="{FF2B5EF4-FFF2-40B4-BE49-F238E27FC236}">
              <a16:creationId xmlns="" xmlns:a16="http://schemas.microsoft.com/office/drawing/2014/main" id="{088B53AC-AF65-48FB-A424-45C164BA6987}"/>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13" name="Text Box 111">
          <a:extLst>
            <a:ext uri="{FF2B5EF4-FFF2-40B4-BE49-F238E27FC236}">
              <a16:creationId xmlns="" xmlns:a16="http://schemas.microsoft.com/office/drawing/2014/main" id="{9FB8BAF1-9FCF-4A7E-A258-2324F0B4C25C}"/>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14" name="Text Box 112">
          <a:extLst>
            <a:ext uri="{FF2B5EF4-FFF2-40B4-BE49-F238E27FC236}">
              <a16:creationId xmlns="" xmlns:a16="http://schemas.microsoft.com/office/drawing/2014/main" id="{2C386310-2277-4DBF-A8D8-93286EBCCD78}"/>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15" name="Text Box 113">
          <a:extLst>
            <a:ext uri="{FF2B5EF4-FFF2-40B4-BE49-F238E27FC236}">
              <a16:creationId xmlns="" xmlns:a16="http://schemas.microsoft.com/office/drawing/2014/main" id="{933832F0-DECA-48DB-9CC3-329F1AEA29E5}"/>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16" name="Text Box 114">
          <a:extLst>
            <a:ext uri="{FF2B5EF4-FFF2-40B4-BE49-F238E27FC236}">
              <a16:creationId xmlns="" xmlns:a16="http://schemas.microsoft.com/office/drawing/2014/main" id="{504387DC-644B-4B5A-87CD-9CE9D8C7A436}"/>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17" name="Text Box 115">
          <a:extLst>
            <a:ext uri="{FF2B5EF4-FFF2-40B4-BE49-F238E27FC236}">
              <a16:creationId xmlns="" xmlns:a16="http://schemas.microsoft.com/office/drawing/2014/main" id="{C1E5E926-E13D-4553-9A83-0D2050332B8D}"/>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18" name="Text Box 116">
          <a:extLst>
            <a:ext uri="{FF2B5EF4-FFF2-40B4-BE49-F238E27FC236}">
              <a16:creationId xmlns="" xmlns:a16="http://schemas.microsoft.com/office/drawing/2014/main" id="{38160AB0-935B-493E-A025-E4924EF3C366}"/>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19" name="Text Box 117">
          <a:extLst>
            <a:ext uri="{FF2B5EF4-FFF2-40B4-BE49-F238E27FC236}">
              <a16:creationId xmlns="" xmlns:a16="http://schemas.microsoft.com/office/drawing/2014/main" id="{2C135360-2283-48CE-AE8C-4FEAAE30B1DD}"/>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20" name="Text Box 118">
          <a:extLst>
            <a:ext uri="{FF2B5EF4-FFF2-40B4-BE49-F238E27FC236}">
              <a16:creationId xmlns="" xmlns:a16="http://schemas.microsoft.com/office/drawing/2014/main" id="{3C448B1A-C93E-4E1A-A22A-02174ECB136D}"/>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21" name="Text Box 119">
          <a:extLst>
            <a:ext uri="{FF2B5EF4-FFF2-40B4-BE49-F238E27FC236}">
              <a16:creationId xmlns="" xmlns:a16="http://schemas.microsoft.com/office/drawing/2014/main" id="{C3E4670A-DA60-4D33-A813-B949A104311A}"/>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22" name="Text Box 120">
          <a:extLst>
            <a:ext uri="{FF2B5EF4-FFF2-40B4-BE49-F238E27FC236}">
              <a16:creationId xmlns="" xmlns:a16="http://schemas.microsoft.com/office/drawing/2014/main" id="{1DCBEAE1-225D-49C0-B651-C1B44F06D421}"/>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23" name="Text Box 121">
          <a:extLst>
            <a:ext uri="{FF2B5EF4-FFF2-40B4-BE49-F238E27FC236}">
              <a16:creationId xmlns="" xmlns:a16="http://schemas.microsoft.com/office/drawing/2014/main" id="{4C5A0861-9506-4165-94E2-5794E4EA0A30}"/>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24" name="Text Box 122">
          <a:extLst>
            <a:ext uri="{FF2B5EF4-FFF2-40B4-BE49-F238E27FC236}">
              <a16:creationId xmlns="" xmlns:a16="http://schemas.microsoft.com/office/drawing/2014/main" id="{807DD8A2-7EFF-4E68-83BB-FE82214C6D66}"/>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25" name="Text Box 123">
          <a:extLst>
            <a:ext uri="{FF2B5EF4-FFF2-40B4-BE49-F238E27FC236}">
              <a16:creationId xmlns="" xmlns:a16="http://schemas.microsoft.com/office/drawing/2014/main" id="{05135C54-F2F8-4B2C-8A14-501591B5677A}"/>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26" name="Text Box 124">
          <a:extLst>
            <a:ext uri="{FF2B5EF4-FFF2-40B4-BE49-F238E27FC236}">
              <a16:creationId xmlns="" xmlns:a16="http://schemas.microsoft.com/office/drawing/2014/main" id="{B3879B29-B30C-4EA4-AB2F-DF4AB664D527}"/>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27" name="Text Box 125">
          <a:extLst>
            <a:ext uri="{FF2B5EF4-FFF2-40B4-BE49-F238E27FC236}">
              <a16:creationId xmlns="" xmlns:a16="http://schemas.microsoft.com/office/drawing/2014/main" id="{D15590BE-4E2F-4E62-99E1-8578A4EAEF84}"/>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28" name="Text Box 126">
          <a:extLst>
            <a:ext uri="{FF2B5EF4-FFF2-40B4-BE49-F238E27FC236}">
              <a16:creationId xmlns="" xmlns:a16="http://schemas.microsoft.com/office/drawing/2014/main" id="{878EF238-0CFD-41A0-BDB6-7F354D8D4BC4}"/>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29" name="Text Box 127">
          <a:extLst>
            <a:ext uri="{FF2B5EF4-FFF2-40B4-BE49-F238E27FC236}">
              <a16:creationId xmlns="" xmlns:a16="http://schemas.microsoft.com/office/drawing/2014/main" id="{24487328-89F5-45B0-AB31-9466BAFF4D9A}"/>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30" name="Text Box 128">
          <a:extLst>
            <a:ext uri="{FF2B5EF4-FFF2-40B4-BE49-F238E27FC236}">
              <a16:creationId xmlns="" xmlns:a16="http://schemas.microsoft.com/office/drawing/2014/main" id="{91990C18-E2E0-4BD6-9270-995763D2CC39}"/>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31" name="Text Box 129">
          <a:extLst>
            <a:ext uri="{FF2B5EF4-FFF2-40B4-BE49-F238E27FC236}">
              <a16:creationId xmlns="" xmlns:a16="http://schemas.microsoft.com/office/drawing/2014/main" id="{33DF40D2-51D4-4035-B0BC-5051BCFA8E68}"/>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32" name="Text Box 130">
          <a:extLst>
            <a:ext uri="{FF2B5EF4-FFF2-40B4-BE49-F238E27FC236}">
              <a16:creationId xmlns="" xmlns:a16="http://schemas.microsoft.com/office/drawing/2014/main" id="{643D27FA-992E-4732-AB34-730953154A7E}"/>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33" name="Text Box 131">
          <a:extLst>
            <a:ext uri="{FF2B5EF4-FFF2-40B4-BE49-F238E27FC236}">
              <a16:creationId xmlns="" xmlns:a16="http://schemas.microsoft.com/office/drawing/2014/main" id="{97E0B2E1-B31D-42EF-AA11-70483630E329}"/>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34" name="Text Box 132">
          <a:extLst>
            <a:ext uri="{FF2B5EF4-FFF2-40B4-BE49-F238E27FC236}">
              <a16:creationId xmlns="" xmlns:a16="http://schemas.microsoft.com/office/drawing/2014/main" id="{2F0C488D-032C-45A4-8EF1-E30B28813637}"/>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35" name="Text Box 133">
          <a:extLst>
            <a:ext uri="{FF2B5EF4-FFF2-40B4-BE49-F238E27FC236}">
              <a16:creationId xmlns="" xmlns:a16="http://schemas.microsoft.com/office/drawing/2014/main" id="{29069363-04E7-4BF0-B7F2-6FFCF0512344}"/>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36" name="Text Box 134">
          <a:extLst>
            <a:ext uri="{FF2B5EF4-FFF2-40B4-BE49-F238E27FC236}">
              <a16:creationId xmlns="" xmlns:a16="http://schemas.microsoft.com/office/drawing/2014/main" id="{C6C0855D-DED4-42C7-A87B-EF5CBDA0E71F}"/>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37" name="Text Box 135">
          <a:extLst>
            <a:ext uri="{FF2B5EF4-FFF2-40B4-BE49-F238E27FC236}">
              <a16:creationId xmlns="" xmlns:a16="http://schemas.microsoft.com/office/drawing/2014/main" id="{EC29C6C7-7476-4582-AB79-B548082CA9D0}"/>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38" name="Text Box 136">
          <a:extLst>
            <a:ext uri="{FF2B5EF4-FFF2-40B4-BE49-F238E27FC236}">
              <a16:creationId xmlns="" xmlns:a16="http://schemas.microsoft.com/office/drawing/2014/main" id="{2A0479E9-1368-4330-938E-67717FC40979}"/>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39" name="Text Box 137">
          <a:extLst>
            <a:ext uri="{FF2B5EF4-FFF2-40B4-BE49-F238E27FC236}">
              <a16:creationId xmlns="" xmlns:a16="http://schemas.microsoft.com/office/drawing/2014/main" id="{43B361D0-4C16-45F4-95AA-3278D8E61642}"/>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40" name="Text Box 138">
          <a:extLst>
            <a:ext uri="{FF2B5EF4-FFF2-40B4-BE49-F238E27FC236}">
              <a16:creationId xmlns="" xmlns:a16="http://schemas.microsoft.com/office/drawing/2014/main" id="{E01B0595-59C3-415A-89D9-0E95D4CFF35F}"/>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41" name="Text Box 139">
          <a:extLst>
            <a:ext uri="{FF2B5EF4-FFF2-40B4-BE49-F238E27FC236}">
              <a16:creationId xmlns="" xmlns:a16="http://schemas.microsoft.com/office/drawing/2014/main" id="{1AD5D40B-7C31-4F30-AB5A-9F558E89EAAA}"/>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42" name="Text Box 140">
          <a:extLst>
            <a:ext uri="{FF2B5EF4-FFF2-40B4-BE49-F238E27FC236}">
              <a16:creationId xmlns="" xmlns:a16="http://schemas.microsoft.com/office/drawing/2014/main" id="{47D5A0A1-C52F-4AB3-9AFA-4F9DF82FA686}"/>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43" name="Text Box 141">
          <a:extLst>
            <a:ext uri="{FF2B5EF4-FFF2-40B4-BE49-F238E27FC236}">
              <a16:creationId xmlns="" xmlns:a16="http://schemas.microsoft.com/office/drawing/2014/main" id="{11616DA1-A647-4AD6-9797-D942250BE466}"/>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00025"/>
    <xdr:sp macro="" textlink="">
      <xdr:nvSpPr>
        <xdr:cNvPr id="1344" name="Text Box 142">
          <a:extLst>
            <a:ext uri="{FF2B5EF4-FFF2-40B4-BE49-F238E27FC236}">
              <a16:creationId xmlns="" xmlns:a16="http://schemas.microsoft.com/office/drawing/2014/main" id="{2C9CFB14-F007-4B5A-94C8-2B59E62D9E91}"/>
            </a:ext>
          </a:extLst>
        </xdr:cNvPr>
        <xdr:cNvSpPr txBox="1">
          <a:spLocks noChangeArrowheads="1"/>
        </xdr:cNvSpPr>
      </xdr:nvSpPr>
      <xdr:spPr bwMode="auto">
        <a:xfrm>
          <a:off x="16916400" y="49834800"/>
          <a:ext cx="76200" cy="200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45" name="Text Box 143">
          <a:extLst>
            <a:ext uri="{FF2B5EF4-FFF2-40B4-BE49-F238E27FC236}">
              <a16:creationId xmlns="" xmlns:a16="http://schemas.microsoft.com/office/drawing/2014/main" id="{C299B673-46BA-4511-A3C9-ADCB282901F2}"/>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46" name="Text Box 144">
          <a:extLst>
            <a:ext uri="{FF2B5EF4-FFF2-40B4-BE49-F238E27FC236}">
              <a16:creationId xmlns="" xmlns:a16="http://schemas.microsoft.com/office/drawing/2014/main" id="{3E80F200-C07C-4BFF-ACBB-1C53CA48C30D}"/>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85750"/>
    <xdr:sp macro="" textlink="">
      <xdr:nvSpPr>
        <xdr:cNvPr id="1347" name="Text Box 145">
          <a:extLst>
            <a:ext uri="{FF2B5EF4-FFF2-40B4-BE49-F238E27FC236}">
              <a16:creationId xmlns="" xmlns:a16="http://schemas.microsoft.com/office/drawing/2014/main" id="{A4EB3B60-6003-4974-ABA9-0B52010105CD}"/>
            </a:ext>
          </a:extLst>
        </xdr:cNvPr>
        <xdr:cNvSpPr txBox="1">
          <a:spLocks noChangeArrowheads="1"/>
        </xdr:cNvSpPr>
      </xdr:nvSpPr>
      <xdr:spPr bwMode="auto">
        <a:xfrm>
          <a:off x="16916400" y="49834800"/>
          <a:ext cx="7620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285750"/>
    <xdr:sp macro="" textlink="">
      <xdr:nvSpPr>
        <xdr:cNvPr id="1348" name="Text Box 146">
          <a:extLst>
            <a:ext uri="{FF2B5EF4-FFF2-40B4-BE49-F238E27FC236}">
              <a16:creationId xmlns="" xmlns:a16="http://schemas.microsoft.com/office/drawing/2014/main" id="{A11ADDD1-C01A-4D79-B9E1-C1D37BCDD083}"/>
            </a:ext>
          </a:extLst>
        </xdr:cNvPr>
        <xdr:cNvSpPr txBox="1">
          <a:spLocks noChangeArrowheads="1"/>
        </xdr:cNvSpPr>
      </xdr:nvSpPr>
      <xdr:spPr bwMode="auto">
        <a:xfrm>
          <a:off x="16916400" y="49834800"/>
          <a:ext cx="7620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49" name="Text Box 147">
          <a:extLst>
            <a:ext uri="{FF2B5EF4-FFF2-40B4-BE49-F238E27FC236}">
              <a16:creationId xmlns="" xmlns:a16="http://schemas.microsoft.com/office/drawing/2014/main" id="{97762AE3-BD19-4AD0-952A-EA96A3C4B29C}"/>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50" name="Text Box 148">
          <a:extLst>
            <a:ext uri="{FF2B5EF4-FFF2-40B4-BE49-F238E27FC236}">
              <a16:creationId xmlns="" xmlns:a16="http://schemas.microsoft.com/office/drawing/2014/main" id="{1007D199-2779-4C46-9BB0-FD040CCF3E0B}"/>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51" name="Text Box 149">
          <a:extLst>
            <a:ext uri="{FF2B5EF4-FFF2-40B4-BE49-F238E27FC236}">
              <a16:creationId xmlns="" xmlns:a16="http://schemas.microsoft.com/office/drawing/2014/main" id="{DD2E3CFE-FFE6-4307-AFE0-19ACC21603AE}"/>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52" name="Text Box 150">
          <a:extLst>
            <a:ext uri="{FF2B5EF4-FFF2-40B4-BE49-F238E27FC236}">
              <a16:creationId xmlns="" xmlns:a16="http://schemas.microsoft.com/office/drawing/2014/main" id="{E9CD4078-E9F3-4757-81F4-0CA9B68CF51F}"/>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53" name="Text Box 151">
          <a:extLst>
            <a:ext uri="{FF2B5EF4-FFF2-40B4-BE49-F238E27FC236}">
              <a16:creationId xmlns="" xmlns:a16="http://schemas.microsoft.com/office/drawing/2014/main" id="{BE98F504-E791-4C26-A61A-A58C0151C1EF}"/>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54" name="Text Box 152">
          <a:extLst>
            <a:ext uri="{FF2B5EF4-FFF2-40B4-BE49-F238E27FC236}">
              <a16:creationId xmlns="" xmlns:a16="http://schemas.microsoft.com/office/drawing/2014/main" id="{22E1A23B-AE91-4936-8370-EA3330A924ED}"/>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55" name="Text Box 153">
          <a:extLst>
            <a:ext uri="{FF2B5EF4-FFF2-40B4-BE49-F238E27FC236}">
              <a16:creationId xmlns="" xmlns:a16="http://schemas.microsoft.com/office/drawing/2014/main" id="{F6AD6FC8-F59F-4BA7-BBF7-D14D2E635999}"/>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56" name="Text Box 154">
          <a:extLst>
            <a:ext uri="{FF2B5EF4-FFF2-40B4-BE49-F238E27FC236}">
              <a16:creationId xmlns="" xmlns:a16="http://schemas.microsoft.com/office/drawing/2014/main" id="{41FEBE72-C7B0-4CD4-BAFE-47300D97C886}"/>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57" name="Text Box 155">
          <a:extLst>
            <a:ext uri="{FF2B5EF4-FFF2-40B4-BE49-F238E27FC236}">
              <a16:creationId xmlns="" xmlns:a16="http://schemas.microsoft.com/office/drawing/2014/main" id="{2AD09FD0-016E-439E-8D4E-5FB83856520E}"/>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58" name="Text Box 156">
          <a:extLst>
            <a:ext uri="{FF2B5EF4-FFF2-40B4-BE49-F238E27FC236}">
              <a16:creationId xmlns="" xmlns:a16="http://schemas.microsoft.com/office/drawing/2014/main" id="{E3E317BE-9A5C-492C-A1C7-8A9BE9539EAE}"/>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59" name="Text Box 157">
          <a:extLst>
            <a:ext uri="{FF2B5EF4-FFF2-40B4-BE49-F238E27FC236}">
              <a16:creationId xmlns="" xmlns:a16="http://schemas.microsoft.com/office/drawing/2014/main" id="{63F7AF97-17E9-4420-8544-C00BE5A372E1}"/>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52400"/>
    <xdr:sp macro="" textlink="">
      <xdr:nvSpPr>
        <xdr:cNvPr id="1360" name="Text Box 158">
          <a:extLst>
            <a:ext uri="{FF2B5EF4-FFF2-40B4-BE49-F238E27FC236}">
              <a16:creationId xmlns="" xmlns:a16="http://schemas.microsoft.com/office/drawing/2014/main" id="{5A06905A-F56E-4F47-9F50-BA113BDBF4B3}"/>
            </a:ext>
          </a:extLst>
        </xdr:cNvPr>
        <xdr:cNvSpPr txBox="1">
          <a:spLocks noChangeArrowheads="1"/>
        </xdr:cNvSpPr>
      </xdr:nvSpPr>
      <xdr:spPr bwMode="auto">
        <a:xfrm>
          <a:off x="16916400" y="49834800"/>
          <a:ext cx="762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61" name="Text Box 214">
          <a:extLst>
            <a:ext uri="{FF2B5EF4-FFF2-40B4-BE49-F238E27FC236}">
              <a16:creationId xmlns="" xmlns:a16="http://schemas.microsoft.com/office/drawing/2014/main" id="{088CFCD2-63CD-4114-BC1D-633043A6061A}"/>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223</xdr:row>
      <xdr:rowOff>0</xdr:rowOff>
    </xdr:from>
    <xdr:ext cx="76200" cy="180975"/>
    <xdr:sp macro="" textlink="">
      <xdr:nvSpPr>
        <xdr:cNvPr id="1362" name="Text Box 215">
          <a:extLst>
            <a:ext uri="{FF2B5EF4-FFF2-40B4-BE49-F238E27FC236}">
              <a16:creationId xmlns="" xmlns:a16="http://schemas.microsoft.com/office/drawing/2014/main" id="{223EEF45-D0F3-40EA-9946-B5320425B14F}"/>
            </a:ext>
          </a:extLst>
        </xdr:cNvPr>
        <xdr:cNvSpPr txBox="1">
          <a:spLocks noChangeArrowheads="1"/>
        </xdr:cNvSpPr>
      </xdr:nvSpPr>
      <xdr:spPr bwMode="auto">
        <a:xfrm>
          <a:off x="16916400" y="49834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223</xdr:row>
      <xdr:rowOff>0</xdr:rowOff>
    </xdr:from>
    <xdr:ext cx="1312092" cy="243790"/>
    <xdr:sp macro="" textlink="">
      <xdr:nvSpPr>
        <xdr:cNvPr id="1363" name="Text Box 805">
          <a:extLst>
            <a:ext uri="{FF2B5EF4-FFF2-40B4-BE49-F238E27FC236}">
              <a16:creationId xmlns="" xmlns:a16="http://schemas.microsoft.com/office/drawing/2014/main" id="{726D2DCA-560C-4FF7-B1E7-1B7AFB722685}"/>
            </a:ext>
          </a:extLst>
        </xdr:cNvPr>
        <xdr:cNvSpPr txBox="1">
          <a:spLocks noChangeArrowheads="1"/>
        </xdr:cNvSpPr>
      </xdr:nvSpPr>
      <xdr:spPr bwMode="auto">
        <a:xfrm flipH="1">
          <a:off x="15859125" y="49834800"/>
          <a:ext cx="1312092" cy="243790"/>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0" cy="194676"/>
    <xdr:sp macro="" textlink="">
      <xdr:nvSpPr>
        <xdr:cNvPr id="1364" name="Text Box 805">
          <a:extLst>
            <a:ext uri="{FF2B5EF4-FFF2-40B4-BE49-F238E27FC236}">
              <a16:creationId xmlns="" xmlns:a16="http://schemas.microsoft.com/office/drawing/2014/main" id="{B2278345-B0BB-4155-B143-C5E766B794F5}"/>
            </a:ext>
          </a:extLst>
        </xdr:cNvPr>
        <xdr:cNvSpPr txBox="1">
          <a:spLocks noChangeArrowheads="1"/>
        </xdr:cNvSpPr>
      </xdr:nvSpPr>
      <xdr:spPr bwMode="auto">
        <a:xfrm flipH="1">
          <a:off x="15859125" y="49834800"/>
          <a:ext cx="0" cy="194676"/>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1312092" cy="243790"/>
    <xdr:sp macro="" textlink="">
      <xdr:nvSpPr>
        <xdr:cNvPr id="1365" name="Text Box 805">
          <a:extLst>
            <a:ext uri="{FF2B5EF4-FFF2-40B4-BE49-F238E27FC236}">
              <a16:creationId xmlns="" xmlns:a16="http://schemas.microsoft.com/office/drawing/2014/main" id="{9D4211F3-30DB-4046-8C84-78E30E933865}"/>
            </a:ext>
          </a:extLst>
        </xdr:cNvPr>
        <xdr:cNvSpPr txBox="1">
          <a:spLocks noChangeArrowheads="1"/>
        </xdr:cNvSpPr>
      </xdr:nvSpPr>
      <xdr:spPr bwMode="auto">
        <a:xfrm flipH="1">
          <a:off x="15859125" y="49834800"/>
          <a:ext cx="1312092" cy="243790"/>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1319932" cy="194674"/>
    <xdr:sp macro="" textlink="">
      <xdr:nvSpPr>
        <xdr:cNvPr id="1366" name="Text Box 805">
          <a:extLst>
            <a:ext uri="{FF2B5EF4-FFF2-40B4-BE49-F238E27FC236}">
              <a16:creationId xmlns="" xmlns:a16="http://schemas.microsoft.com/office/drawing/2014/main" id="{76FCCC4D-2442-4AB8-8419-EC2AF808AA4C}"/>
            </a:ext>
          </a:extLst>
        </xdr:cNvPr>
        <xdr:cNvSpPr txBox="1">
          <a:spLocks noChangeArrowheads="1"/>
        </xdr:cNvSpPr>
      </xdr:nvSpPr>
      <xdr:spPr bwMode="auto">
        <a:xfrm flipH="1">
          <a:off x="15859125" y="49834800"/>
          <a:ext cx="1319932" cy="194674"/>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1312092" cy="243790"/>
    <xdr:sp macro="" textlink="">
      <xdr:nvSpPr>
        <xdr:cNvPr id="1367" name="Text Box 805">
          <a:extLst>
            <a:ext uri="{FF2B5EF4-FFF2-40B4-BE49-F238E27FC236}">
              <a16:creationId xmlns="" xmlns:a16="http://schemas.microsoft.com/office/drawing/2014/main" id="{F4647548-C80E-4EDF-8A55-2E0F0153EB15}"/>
            </a:ext>
          </a:extLst>
        </xdr:cNvPr>
        <xdr:cNvSpPr txBox="1">
          <a:spLocks noChangeArrowheads="1"/>
        </xdr:cNvSpPr>
      </xdr:nvSpPr>
      <xdr:spPr bwMode="auto">
        <a:xfrm flipH="1">
          <a:off x="15859125" y="49834800"/>
          <a:ext cx="1312092" cy="243790"/>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0" cy="194676"/>
    <xdr:sp macro="" textlink="">
      <xdr:nvSpPr>
        <xdr:cNvPr id="1368" name="Text Box 805">
          <a:extLst>
            <a:ext uri="{FF2B5EF4-FFF2-40B4-BE49-F238E27FC236}">
              <a16:creationId xmlns="" xmlns:a16="http://schemas.microsoft.com/office/drawing/2014/main" id="{ADE74466-CD0C-46A2-ABF7-29EA08E5C10E}"/>
            </a:ext>
          </a:extLst>
        </xdr:cNvPr>
        <xdr:cNvSpPr txBox="1">
          <a:spLocks noChangeArrowheads="1"/>
        </xdr:cNvSpPr>
      </xdr:nvSpPr>
      <xdr:spPr bwMode="auto">
        <a:xfrm flipH="1">
          <a:off x="15859125" y="49834800"/>
          <a:ext cx="0" cy="194676"/>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1312092" cy="243790"/>
    <xdr:sp macro="" textlink="">
      <xdr:nvSpPr>
        <xdr:cNvPr id="1369" name="Text Box 805">
          <a:extLst>
            <a:ext uri="{FF2B5EF4-FFF2-40B4-BE49-F238E27FC236}">
              <a16:creationId xmlns="" xmlns:a16="http://schemas.microsoft.com/office/drawing/2014/main" id="{54D0A426-B796-44E4-A664-05BE8D8F3FFA}"/>
            </a:ext>
          </a:extLst>
        </xdr:cNvPr>
        <xdr:cNvSpPr txBox="1">
          <a:spLocks noChangeArrowheads="1"/>
        </xdr:cNvSpPr>
      </xdr:nvSpPr>
      <xdr:spPr bwMode="auto">
        <a:xfrm flipH="1">
          <a:off x="15859125" y="49834800"/>
          <a:ext cx="1312092" cy="243790"/>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0" cy="161939"/>
    <xdr:sp macro="" textlink="">
      <xdr:nvSpPr>
        <xdr:cNvPr id="1370" name="Text Box 805">
          <a:extLst>
            <a:ext uri="{FF2B5EF4-FFF2-40B4-BE49-F238E27FC236}">
              <a16:creationId xmlns="" xmlns:a16="http://schemas.microsoft.com/office/drawing/2014/main" id="{5BEA97CA-55D2-4705-86D8-45FB650F3FA8}"/>
            </a:ext>
          </a:extLst>
        </xdr:cNvPr>
        <xdr:cNvSpPr txBox="1">
          <a:spLocks noChangeArrowheads="1"/>
        </xdr:cNvSpPr>
      </xdr:nvSpPr>
      <xdr:spPr bwMode="auto">
        <a:xfrm flipH="1">
          <a:off x="15859125" y="46634400"/>
          <a:ext cx="0" cy="161939"/>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2092" cy="162671"/>
    <xdr:sp macro="" textlink="">
      <xdr:nvSpPr>
        <xdr:cNvPr id="1371" name="Text Box 805">
          <a:extLst>
            <a:ext uri="{FF2B5EF4-FFF2-40B4-BE49-F238E27FC236}">
              <a16:creationId xmlns="" xmlns:a16="http://schemas.microsoft.com/office/drawing/2014/main" id="{B3FF8CB4-83B4-4C0A-B551-AEA9D7E6BB7F}"/>
            </a:ext>
          </a:extLst>
        </xdr:cNvPr>
        <xdr:cNvSpPr txBox="1">
          <a:spLocks noChangeArrowheads="1"/>
        </xdr:cNvSpPr>
      </xdr:nvSpPr>
      <xdr:spPr bwMode="auto">
        <a:xfrm flipH="1">
          <a:off x="15859125" y="46634400"/>
          <a:ext cx="1312092" cy="162671"/>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9932" cy="162270"/>
    <xdr:sp macro="" textlink="">
      <xdr:nvSpPr>
        <xdr:cNvPr id="1372" name="Text Box 805">
          <a:extLst>
            <a:ext uri="{FF2B5EF4-FFF2-40B4-BE49-F238E27FC236}">
              <a16:creationId xmlns="" xmlns:a16="http://schemas.microsoft.com/office/drawing/2014/main" id="{FADBE652-479D-4F44-99D1-D8785E75BA29}"/>
            </a:ext>
          </a:extLst>
        </xdr:cNvPr>
        <xdr:cNvSpPr txBox="1">
          <a:spLocks noChangeArrowheads="1"/>
        </xdr:cNvSpPr>
      </xdr:nvSpPr>
      <xdr:spPr bwMode="auto">
        <a:xfrm flipH="1">
          <a:off x="15859125" y="46634400"/>
          <a:ext cx="1319932" cy="162270"/>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2092" cy="162671"/>
    <xdr:sp macro="" textlink="">
      <xdr:nvSpPr>
        <xdr:cNvPr id="1373" name="Text Box 805">
          <a:extLst>
            <a:ext uri="{FF2B5EF4-FFF2-40B4-BE49-F238E27FC236}">
              <a16:creationId xmlns="" xmlns:a16="http://schemas.microsoft.com/office/drawing/2014/main" id="{D9720BA4-0014-49DE-8566-6B351F10D331}"/>
            </a:ext>
          </a:extLst>
        </xdr:cNvPr>
        <xdr:cNvSpPr txBox="1">
          <a:spLocks noChangeArrowheads="1"/>
        </xdr:cNvSpPr>
      </xdr:nvSpPr>
      <xdr:spPr bwMode="auto">
        <a:xfrm flipH="1">
          <a:off x="15859125" y="46634400"/>
          <a:ext cx="1312092" cy="162671"/>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213</xdr:row>
      <xdr:rowOff>0</xdr:rowOff>
    </xdr:from>
    <xdr:ext cx="0" cy="193657"/>
    <xdr:sp macro="" textlink="">
      <xdr:nvSpPr>
        <xdr:cNvPr id="1374" name="Text Box 805">
          <a:extLst>
            <a:ext uri="{FF2B5EF4-FFF2-40B4-BE49-F238E27FC236}">
              <a16:creationId xmlns="" xmlns:a16="http://schemas.microsoft.com/office/drawing/2014/main" id="{4741AD4C-7AFA-4A38-BBE5-CA4179DBE7F8}"/>
            </a:ext>
          </a:extLst>
        </xdr:cNvPr>
        <xdr:cNvSpPr txBox="1">
          <a:spLocks noChangeArrowheads="1"/>
        </xdr:cNvSpPr>
      </xdr:nvSpPr>
      <xdr:spPr bwMode="auto">
        <a:xfrm flipH="1">
          <a:off x="15859125" y="46863000"/>
          <a:ext cx="0" cy="19365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213</xdr:row>
      <xdr:rowOff>0</xdr:rowOff>
    </xdr:from>
    <xdr:ext cx="1312092" cy="269667"/>
    <xdr:sp macro="" textlink="">
      <xdr:nvSpPr>
        <xdr:cNvPr id="1375" name="Text Box 805">
          <a:extLst>
            <a:ext uri="{FF2B5EF4-FFF2-40B4-BE49-F238E27FC236}">
              <a16:creationId xmlns="" xmlns:a16="http://schemas.microsoft.com/office/drawing/2014/main" id="{90932A25-E90A-4FBD-A198-CCEA023E6F4A}"/>
            </a:ext>
          </a:extLst>
        </xdr:cNvPr>
        <xdr:cNvSpPr txBox="1">
          <a:spLocks noChangeArrowheads="1"/>
        </xdr:cNvSpPr>
      </xdr:nvSpPr>
      <xdr:spPr bwMode="auto">
        <a:xfrm flipH="1">
          <a:off x="15859125" y="46863000"/>
          <a:ext cx="1312092" cy="26966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0" cy="161939"/>
    <xdr:sp macro="" textlink="">
      <xdr:nvSpPr>
        <xdr:cNvPr id="1376" name="Text Box 805">
          <a:extLst>
            <a:ext uri="{FF2B5EF4-FFF2-40B4-BE49-F238E27FC236}">
              <a16:creationId xmlns="" xmlns:a16="http://schemas.microsoft.com/office/drawing/2014/main" id="{57182D61-6E09-4129-AEEE-481E3E3DCDAB}"/>
            </a:ext>
          </a:extLst>
        </xdr:cNvPr>
        <xdr:cNvSpPr txBox="1">
          <a:spLocks noChangeArrowheads="1"/>
        </xdr:cNvSpPr>
      </xdr:nvSpPr>
      <xdr:spPr bwMode="auto">
        <a:xfrm flipH="1">
          <a:off x="15859125" y="46634400"/>
          <a:ext cx="0" cy="161939"/>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2092" cy="162671"/>
    <xdr:sp macro="" textlink="">
      <xdr:nvSpPr>
        <xdr:cNvPr id="1377" name="Text Box 805">
          <a:extLst>
            <a:ext uri="{FF2B5EF4-FFF2-40B4-BE49-F238E27FC236}">
              <a16:creationId xmlns="" xmlns:a16="http://schemas.microsoft.com/office/drawing/2014/main" id="{EDD5CC32-BD5C-41B6-947A-B7F76FE55E38}"/>
            </a:ext>
          </a:extLst>
        </xdr:cNvPr>
        <xdr:cNvSpPr txBox="1">
          <a:spLocks noChangeArrowheads="1"/>
        </xdr:cNvSpPr>
      </xdr:nvSpPr>
      <xdr:spPr bwMode="auto">
        <a:xfrm flipH="1">
          <a:off x="15859125" y="46634400"/>
          <a:ext cx="1312092" cy="162671"/>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9932" cy="162270"/>
    <xdr:sp macro="" textlink="">
      <xdr:nvSpPr>
        <xdr:cNvPr id="1378" name="Text Box 805">
          <a:extLst>
            <a:ext uri="{FF2B5EF4-FFF2-40B4-BE49-F238E27FC236}">
              <a16:creationId xmlns="" xmlns:a16="http://schemas.microsoft.com/office/drawing/2014/main" id="{C5BAB373-28FD-4B25-B0F6-9341141E6554}"/>
            </a:ext>
          </a:extLst>
        </xdr:cNvPr>
        <xdr:cNvSpPr txBox="1">
          <a:spLocks noChangeArrowheads="1"/>
        </xdr:cNvSpPr>
      </xdr:nvSpPr>
      <xdr:spPr bwMode="auto">
        <a:xfrm flipH="1">
          <a:off x="15859125" y="46634400"/>
          <a:ext cx="1319932" cy="162270"/>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2092" cy="162671"/>
    <xdr:sp macro="" textlink="">
      <xdr:nvSpPr>
        <xdr:cNvPr id="1379" name="Text Box 805">
          <a:extLst>
            <a:ext uri="{FF2B5EF4-FFF2-40B4-BE49-F238E27FC236}">
              <a16:creationId xmlns="" xmlns:a16="http://schemas.microsoft.com/office/drawing/2014/main" id="{11796BA3-7FD4-48D4-82E6-91975754AEE3}"/>
            </a:ext>
          </a:extLst>
        </xdr:cNvPr>
        <xdr:cNvSpPr txBox="1">
          <a:spLocks noChangeArrowheads="1"/>
        </xdr:cNvSpPr>
      </xdr:nvSpPr>
      <xdr:spPr bwMode="auto">
        <a:xfrm flipH="1">
          <a:off x="15859125" y="46634400"/>
          <a:ext cx="1312092" cy="162671"/>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213</xdr:row>
      <xdr:rowOff>0</xdr:rowOff>
    </xdr:from>
    <xdr:ext cx="0" cy="193657"/>
    <xdr:sp macro="" textlink="">
      <xdr:nvSpPr>
        <xdr:cNvPr id="1380" name="Text Box 805">
          <a:extLst>
            <a:ext uri="{FF2B5EF4-FFF2-40B4-BE49-F238E27FC236}">
              <a16:creationId xmlns="" xmlns:a16="http://schemas.microsoft.com/office/drawing/2014/main" id="{1F5BFFE8-1539-46BE-80C0-929C96C08480}"/>
            </a:ext>
          </a:extLst>
        </xdr:cNvPr>
        <xdr:cNvSpPr txBox="1">
          <a:spLocks noChangeArrowheads="1"/>
        </xdr:cNvSpPr>
      </xdr:nvSpPr>
      <xdr:spPr bwMode="auto">
        <a:xfrm flipH="1">
          <a:off x="15859125" y="46863000"/>
          <a:ext cx="0" cy="19365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213</xdr:row>
      <xdr:rowOff>0</xdr:rowOff>
    </xdr:from>
    <xdr:ext cx="1312092" cy="269667"/>
    <xdr:sp macro="" textlink="">
      <xdr:nvSpPr>
        <xdr:cNvPr id="1381" name="Text Box 805">
          <a:extLst>
            <a:ext uri="{FF2B5EF4-FFF2-40B4-BE49-F238E27FC236}">
              <a16:creationId xmlns="" xmlns:a16="http://schemas.microsoft.com/office/drawing/2014/main" id="{5FB8C7F0-93F1-4442-9823-BCE505D67F10}"/>
            </a:ext>
          </a:extLst>
        </xdr:cNvPr>
        <xdr:cNvSpPr txBox="1">
          <a:spLocks noChangeArrowheads="1"/>
        </xdr:cNvSpPr>
      </xdr:nvSpPr>
      <xdr:spPr bwMode="auto">
        <a:xfrm flipH="1">
          <a:off x="15859125" y="46863000"/>
          <a:ext cx="1312092" cy="26966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0" cy="133817"/>
    <xdr:sp macro="" textlink="">
      <xdr:nvSpPr>
        <xdr:cNvPr id="1382" name="Text Box 805">
          <a:extLst>
            <a:ext uri="{FF2B5EF4-FFF2-40B4-BE49-F238E27FC236}">
              <a16:creationId xmlns="" xmlns:a16="http://schemas.microsoft.com/office/drawing/2014/main" id="{022BA9DE-7BBD-4A96-8221-7B7CD98636CD}"/>
            </a:ext>
          </a:extLst>
        </xdr:cNvPr>
        <xdr:cNvSpPr txBox="1">
          <a:spLocks noChangeArrowheads="1"/>
        </xdr:cNvSpPr>
      </xdr:nvSpPr>
      <xdr:spPr bwMode="auto">
        <a:xfrm flipH="1">
          <a:off x="15859125" y="45491400"/>
          <a:ext cx="0" cy="13381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1319447" cy="164097"/>
    <xdr:sp macro="" textlink="">
      <xdr:nvSpPr>
        <xdr:cNvPr id="1383" name="Text Box 805">
          <a:extLst>
            <a:ext uri="{FF2B5EF4-FFF2-40B4-BE49-F238E27FC236}">
              <a16:creationId xmlns="" xmlns:a16="http://schemas.microsoft.com/office/drawing/2014/main" id="{1F58B48E-C35A-4B87-B94A-EE679608D2A9}"/>
            </a:ext>
          </a:extLst>
        </xdr:cNvPr>
        <xdr:cNvSpPr txBox="1">
          <a:spLocks noChangeArrowheads="1"/>
        </xdr:cNvSpPr>
      </xdr:nvSpPr>
      <xdr:spPr bwMode="auto">
        <a:xfrm flipH="1">
          <a:off x="15859125" y="45491400"/>
          <a:ext cx="1319447" cy="16409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1329820" cy="133817"/>
    <xdr:sp macro="" textlink="">
      <xdr:nvSpPr>
        <xdr:cNvPr id="1384" name="Text Box 805">
          <a:extLst>
            <a:ext uri="{FF2B5EF4-FFF2-40B4-BE49-F238E27FC236}">
              <a16:creationId xmlns="" xmlns:a16="http://schemas.microsoft.com/office/drawing/2014/main" id="{5AA90764-CA78-48F4-A2C0-F7A2B4F70145}"/>
            </a:ext>
          </a:extLst>
        </xdr:cNvPr>
        <xdr:cNvSpPr txBox="1">
          <a:spLocks noChangeArrowheads="1"/>
        </xdr:cNvSpPr>
      </xdr:nvSpPr>
      <xdr:spPr bwMode="auto">
        <a:xfrm flipH="1">
          <a:off x="15859125" y="45491400"/>
          <a:ext cx="1329820" cy="13381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1319447" cy="164097"/>
    <xdr:sp macro="" textlink="">
      <xdr:nvSpPr>
        <xdr:cNvPr id="1385" name="Text Box 805">
          <a:extLst>
            <a:ext uri="{FF2B5EF4-FFF2-40B4-BE49-F238E27FC236}">
              <a16:creationId xmlns="" xmlns:a16="http://schemas.microsoft.com/office/drawing/2014/main" id="{1EFCB53E-1897-4229-8CBF-5F133A9DD7C5}"/>
            </a:ext>
          </a:extLst>
        </xdr:cNvPr>
        <xdr:cNvSpPr txBox="1">
          <a:spLocks noChangeArrowheads="1"/>
        </xdr:cNvSpPr>
      </xdr:nvSpPr>
      <xdr:spPr bwMode="auto">
        <a:xfrm flipH="1">
          <a:off x="15859125" y="45491400"/>
          <a:ext cx="1319447" cy="16409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0" cy="115487"/>
    <xdr:sp macro="" textlink="">
      <xdr:nvSpPr>
        <xdr:cNvPr id="1386" name="Text Box 805">
          <a:extLst>
            <a:ext uri="{FF2B5EF4-FFF2-40B4-BE49-F238E27FC236}">
              <a16:creationId xmlns="" xmlns:a16="http://schemas.microsoft.com/office/drawing/2014/main" id="{DA901444-4042-41CC-9833-0EC62B6569A1}"/>
            </a:ext>
          </a:extLst>
        </xdr:cNvPr>
        <xdr:cNvSpPr txBox="1">
          <a:spLocks noChangeArrowheads="1"/>
        </xdr:cNvSpPr>
      </xdr:nvSpPr>
      <xdr:spPr bwMode="auto">
        <a:xfrm flipH="1">
          <a:off x="15859125" y="45720000"/>
          <a:ext cx="0" cy="11548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209</xdr:row>
      <xdr:rowOff>0</xdr:rowOff>
    </xdr:from>
    <xdr:ext cx="1319447" cy="147885"/>
    <xdr:sp macro="" textlink="">
      <xdr:nvSpPr>
        <xdr:cNvPr id="1387" name="Text Box 805">
          <a:extLst>
            <a:ext uri="{FF2B5EF4-FFF2-40B4-BE49-F238E27FC236}">
              <a16:creationId xmlns="" xmlns:a16="http://schemas.microsoft.com/office/drawing/2014/main" id="{6B597D81-82E0-4F46-A31A-BDA4139C4A7D}"/>
            </a:ext>
          </a:extLst>
        </xdr:cNvPr>
        <xdr:cNvSpPr txBox="1">
          <a:spLocks noChangeArrowheads="1"/>
        </xdr:cNvSpPr>
      </xdr:nvSpPr>
      <xdr:spPr bwMode="auto">
        <a:xfrm flipH="1">
          <a:off x="15859125" y="45720000"/>
          <a:ext cx="1319447" cy="147885"/>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1319447" cy="168347"/>
    <xdr:sp macro="" textlink="">
      <xdr:nvSpPr>
        <xdr:cNvPr id="1388" name="Text Box 805">
          <a:extLst>
            <a:ext uri="{FF2B5EF4-FFF2-40B4-BE49-F238E27FC236}">
              <a16:creationId xmlns="" xmlns:a16="http://schemas.microsoft.com/office/drawing/2014/main" id="{7DF730B2-59C2-4454-9EEB-119F19C51DE3}"/>
            </a:ext>
          </a:extLst>
        </xdr:cNvPr>
        <xdr:cNvSpPr txBox="1">
          <a:spLocks noChangeArrowheads="1"/>
        </xdr:cNvSpPr>
      </xdr:nvSpPr>
      <xdr:spPr bwMode="auto">
        <a:xfrm flipH="1">
          <a:off x="15859125" y="49834800"/>
          <a:ext cx="1319447" cy="16834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1319447" cy="168347"/>
    <xdr:sp macro="" textlink="">
      <xdr:nvSpPr>
        <xdr:cNvPr id="1389" name="Text Box 805">
          <a:extLst>
            <a:ext uri="{FF2B5EF4-FFF2-40B4-BE49-F238E27FC236}">
              <a16:creationId xmlns="" xmlns:a16="http://schemas.microsoft.com/office/drawing/2014/main" id="{6C9C9843-CF84-433F-9198-9E52A73E2389}"/>
            </a:ext>
          </a:extLst>
        </xdr:cNvPr>
        <xdr:cNvSpPr txBox="1">
          <a:spLocks noChangeArrowheads="1"/>
        </xdr:cNvSpPr>
      </xdr:nvSpPr>
      <xdr:spPr bwMode="auto">
        <a:xfrm flipH="1">
          <a:off x="15859125" y="49834800"/>
          <a:ext cx="1319447" cy="16834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1329820" cy="131224"/>
    <xdr:sp macro="" textlink="">
      <xdr:nvSpPr>
        <xdr:cNvPr id="1390" name="Text Box 805">
          <a:extLst>
            <a:ext uri="{FF2B5EF4-FFF2-40B4-BE49-F238E27FC236}">
              <a16:creationId xmlns="" xmlns:a16="http://schemas.microsoft.com/office/drawing/2014/main" id="{2D1C414C-5EFB-402A-8D83-CB986B1444A3}"/>
            </a:ext>
          </a:extLst>
        </xdr:cNvPr>
        <xdr:cNvSpPr txBox="1">
          <a:spLocks noChangeArrowheads="1"/>
        </xdr:cNvSpPr>
      </xdr:nvSpPr>
      <xdr:spPr bwMode="auto">
        <a:xfrm flipH="1">
          <a:off x="15859125" y="49834800"/>
          <a:ext cx="1329820" cy="131224"/>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1319447" cy="168347"/>
    <xdr:sp macro="" textlink="">
      <xdr:nvSpPr>
        <xdr:cNvPr id="1391" name="Text Box 805">
          <a:extLst>
            <a:ext uri="{FF2B5EF4-FFF2-40B4-BE49-F238E27FC236}">
              <a16:creationId xmlns="" xmlns:a16="http://schemas.microsoft.com/office/drawing/2014/main" id="{11F5DAE5-C8DF-4D5F-8DBC-6E0BD5902284}"/>
            </a:ext>
          </a:extLst>
        </xdr:cNvPr>
        <xdr:cNvSpPr txBox="1">
          <a:spLocks noChangeArrowheads="1"/>
        </xdr:cNvSpPr>
      </xdr:nvSpPr>
      <xdr:spPr bwMode="auto">
        <a:xfrm flipH="1">
          <a:off x="15859125" y="49834800"/>
          <a:ext cx="1319447" cy="16834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223</xdr:row>
      <xdr:rowOff>0</xdr:rowOff>
    </xdr:from>
    <xdr:ext cx="1319447" cy="168347"/>
    <xdr:sp macro="" textlink="">
      <xdr:nvSpPr>
        <xdr:cNvPr id="1392" name="Text Box 805">
          <a:extLst>
            <a:ext uri="{FF2B5EF4-FFF2-40B4-BE49-F238E27FC236}">
              <a16:creationId xmlns="" xmlns:a16="http://schemas.microsoft.com/office/drawing/2014/main" id="{5B4439A0-D777-4D4A-BAED-A3F566F38C35}"/>
            </a:ext>
          </a:extLst>
        </xdr:cNvPr>
        <xdr:cNvSpPr txBox="1">
          <a:spLocks noChangeArrowheads="1"/>
        </xdr:cNvSpPr>
      </xdr:nvSpPr>
      <xdr:spPr bwMode="auto">
        <a:xfrm flipH="1">
          <a:off x="15859125" y="49834800"/>
          <a:ext cx="1319447" cy="16834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9447" cy="123866"/>
    <xdr:sp macro="" textlink="">
      <xdr:nvSpPr>
        <xdr:cNvPr id="1393" name="Text Box 805">
          <a:extLst>
            <a:ext uri="{FF2B5EF4-FFF2-40B4-BE49-F238E27FC236}">
              <a16:creationId xmlns="" xmlns:a16="http://schemas.microsoft.com/office/drawing/2014/main" id="{A3425F2C-208F-4CD5-A982-C03681E1A1E6}"/>
            </a:ext>
          </a:extLst>
        </xdr:cNvPr>
        <xdr:cNvSpPr txBox="1">
          <a:spLocks noChangeArrowheads="1"/>
        </xdr:cNvSpPr>
      </xdr:nvSpPr>
      <xdr:spPr bwMode="auto">
        <a:xfrm flipH="1">
          <a:off x="15859125" y="46634400"/>
          <a:ext cx="1319447" cy="123866"/>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29820" cy="128137"/>
    <xdr:sp macro="" textlink="">
      <xdr:nvSpPr>
        <xdr:cNvPr id="1394" name="Text Box 805">
          <a:extLst>
            <a:ext uri="{FF2B5EF4-FFF2-40B4-BE49-F238E27FC236}">
              <a16:creationId xmlns="" xmlns:a16="http://schemas.microsoft.com/office/drawing/2014/main" id="{1E8C5DD1-A1AD-4E1F-B1F2-E38CF51149AA}"/>
            </a:ext>
          </a:extLst>
        </xdr:cNvPr>
        <xdr:cNvSpPr txBox="1">
          <a:spLocks noChangeArrowheads="1"/>
        </xdr:cNvSpPr>
      </xdr:nvSpPr>
      <xdr:spPr bwMode="auto">
        <a:xfrm flipH="1">
          <a:off x="15859125" y="46634400"/>
          <a:ext cx="1329820" cy="12813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9447" cy="123866"/>
    <xdr:sp macro="" textlink="">
      <xdr:nvSpPr>
        <xdr:cNvPr id="1395" name="Text Box 805">
          <a:extLst>
            <a:ext uri="{FF2B5EF4-FFF2-40B4-BE49-F238E27FC236}">
              <a16:creationId xmlns="" xmlns:a16="http://schemas.microsoft.com/office/drawing/2014/main" id="{2CA5F4DE-6629-4A65-88ED-3B8E731ACA75}"/>
            </a:ext>
          </a:extLst>
        </xdr:cNvPr>
        <xdr:cNvSpPr txBox="1">
          <a:spLocks noChangeArrowheads="1"/>
        </xdr:cNvSpPr>
      </xdr:nvSpPr>
      <xdr:spPr bwMode="auto">
        <a:xfrm flipH="1">
          <a:off x="15859125" y="46634400"/>
          <a:ext cx="1319447" cy="123866"/>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213</xdr:row>
      <xdr:rowOff>0</xdr:rowOff>
    </xdr:from>
    <xdr:ext cx="1319447" cy="269363"/>
    <xdr:sp macro="" textlink="">
      <xdr:nvSpPr>
        <xdr:cNvPr id="1396" name="Text Box 805">
          <a:extLst>
            <a:ext uri="{FF2B5EF4-FFF2-40B4-BE49-F238E27FC236}">
              <a16:creationId xmlns="" xmlns:a16="http://schemas.microsoft.com/office/drawing/2014/main" id="{9AD73D51-B2A6-4A60-8F2A-698D3B12B663}"/>
            </a:ext>
          </a:extLst>
        </xdr:cNvPr>
        <xdr:cNvSpPr txBox="1">
          <a:spLocks noChangeArrowheads="1"/>
        </xdr:cNvSpPr>
      </xdr:nvSpPr>
      <xdr:spPr bwMode="auto">
        <a:xfrm flipH="1">
          <a:off x="15859125" y="46863000"/>
          <a:ext cx="1319447" cy="269363"/>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9447" cy="123866"/>
    <xdr:sp macro="" textlink="">
      <xdr:nvSpPr>
        <xdr:cNvPr id="1397" name="Text Box 805">
          <a:extLst>
            <a:ext uri="{FF2B5EF4-FFF2-40B4-BE49-F238E27FC236}">
              <a16:creationId xmlns="" xmlns:a16="http://schemas.microsoft.com/office/drawing/2014/main" id="{0ABEC602-A5FA-480E-BB98-4EC40736ADBF}"/>
            </a:ext>
          </a:extLst>
        </xdr:cNvPr>
        <xdr:cNvSpPr txBox="1">
          <a:spLocks noChangeArrowheads="1"/>
        </xdr:cNvSpPr>
      </xdr:nvSpPr>
      <xdr:spPr bwMode="auto">
        <a:xfrm flipH="1">
          <a:off x="15859125" y="46634400"/>
          <a:ext cx="1319447" cy="123866"/>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29820" cy="128137"/>
    <xdr:sp macro="" textlink="">
      <xdr:nvSpPr>
        <xdr:cNvPr id="1398" name="Text Box 805">
          <a:extLst>
            <a:ext uri="{FF2B5EF4-FFF2-40B4-BE49-F238E27FC236}">
              <a16:creationId xmlns="" xmlns:a16="http://schemas.microsoft.com/office/drawing/2014/main" id="{4A99A229-3207-4CF0-9D28-BAD444F3176D}"/>
            </a:ext>
          </a:extLst>
        </xdr:cNvPr>
        <xdr:cNvSpPr txBox="1">
          <a:spLocks noChangeArrowheads="1"/>
        </xdr:cNvSpPr>
      </xdr:nvSpPr>
      <xdr:spPr bwMode="auto">
        <a:xfrm flipH="1">
          <a:off x="15859125" y="46634400"/>
          <a:ext cx="1329820" cy="128137"/>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212</xdr:row>
      <xdr:rowOff>0</xdr:rowOff>
    </xdr:from>
    <xdr:ext cx="1319447" cy="123866"/>
    <xdr:sp macro="" textlink="">
      <xdr:nvSpPr>
        <xdr:cNvPr id="1399" name="Text Box 805">
          <a:extLst>
            <a:ext uri="{FF2B5EF4-FFF2-40B4-BE49-F238E27FC236}">
              <a16:creationId xmlns="" xmlns:a16="http://schemas.microsoft.com/office/drawing/2014/main" id="{BCB943E7-F4DA-4D55-BD3D-6F751CD40282}"/>
            </a:ext>
          </a:extLst>
        </xdr:cNvPr>
        <xdr:cNvSpPr txBox="1">
          <a:spLocks noChangeArrowheads="1"/>
        </xdr:cNvSpPr>
      </xdr:nvSpPr>
      <xdr:spPr bwMode="auto">
        <a:xfrm flipH="1">
          <a:off x="15859125" y="46634400"/>
          <a:ext cx="1319447" cy="123866"/>
        </a:xfrm>
        <a:prstGeom prst="rect">
          <a:avLst/>
        </a:prstGeom>
        <a:noFill/>
        <a:ln w="9525">
          <a:noFill/>
          <a:miter lim="800000"/>
          <a:headEnd/>
          <a:tailEnd/>
        </a:ln>
      </xdr:spPr>
      <xdr:txBody>
        <a:bodyPr/>
        <a:lstStyle/>
        <a:p>
          <a:endParaRPr lang="en-US"/>
        </a:p>
        <a:p>
          <a:endParaRPr lang="en-US"/>
        </a:p>
      </xdr:txBody>
    </xdr:sp>
    <xdr:clientData/>
  </xdr:oneCellAnchor>
  <xdr:oneCellAnchor>
    <xdr:from>
      <xdr:col>2</xdr:col>
      <xdr:colOff>0</xdr:colOff>
      <xdr:row>213</xdr:row>
      <xdr:rowOff>0</xdr:rowOff>
    </xdr:from>
    <xdr:ext cx="1319447" cy="269363"/>
    <xdr:sp macro="" textlink="">
      <xdr:nvSpPr>
        <xdr:cNvPr id="1400" name="Text Box 805">
          <a:extLst>
            <a:ext uri="{FF2B5EF4-FFF2-40B4-BE49-F238E27FC236}">
              <a16:creationId xmlns="" xmlns:a16="http://schemas.microsoft.com/office/drawing/2014/main" id="{BD4F12B8-45C3-485A-9557-B461AF2B479F}"/>
            </a:ext>
          </a:extLst>
        </xdr:cNvPr>
        <xdr:cNvSpPr txBox="1">
          <a:spLocks noChangeArrowheads="1"/>
        </xdr:cNvSpPr>
      </xdr:nvSpPr>
      <xdr:spPr bwMode="auto">
        <a:xfrm flipH="1">
          <a:off x="15859125" y="46863000"/>
          <a:ext cx="1319447" cy="269363"/>
        </a:xfrm>
        <a:prstGeom prst="rect">
          <a:avLst/>
        </a:prstGeom>
        <a:noFill/>
        <a:ln w="9525">
          <a:noFill/>
          <a:miter lim="800000"/>
          <a:headEnd/>
          <a:tailEnd/>
        </a:ln>
      </xdr:spPr>
      <xdr:txBody>
        <a:bodyPr/>
        <a:lstStyle/>
        <a:p>
          <a:endParaRPr lang="en-US"/>
        </a:p>
        <a:p>
          <a:endParaRPr lang="en-US"/>
        </a:p>
      </xdr:txBody>
    </xdr:sp>
    <xdr:clientData/>
  </xdr:oneCellAnchor>
  <xdr:oneCellAnchor>
    <xdr:from>
      <xdr:col>4</xdr:col>
      <xdr:colOff>0</xdr:colOff>
      <xdr:row>276</xdr:row>
      <xdr:rowOff>0</xdr:rowOff>
    </xdr:from>
    <xdr:ext cx="76200" cy="223157"/>
    <xdr:sp macro="" textlink="">
      <xdr:nvSpPr>
        <xdr:cNvPr id="1401" name="Text Box 43">
          <a:extLst>
            <a:ext uri="{FF2B5EF4-FFF2-40B4-BE49-F238E27FC236}">
              <a16:creationId xmlns="" xmlns:a16="http://schemas.microsoft.com/office/drawing/2014/main" id="{9FBCC3D9-9B23-4E3F-806C-1BEAB0E2FC59}"/>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02" name="Text Box 45">
          <a:extLst>
            <a:ext uri="{FF2B5EF4-FFF2-40B4-BE49-F238E27FC236}">
              <a16:creationId xmlns="" xmlns:a16="http://schemas.microsoft.com/office/drawing/2014/main" id="{691B1933-505F-46F7-B29C-DDA825B6A6E1}"/>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03" name="Text Box 47">
          <a:extLst>
            <a:ext uri="{FF2B5EF4-FFF2-40B4-BE49-F238E27FC236}">
              <a16:creationId xmlns="" xmlns:a16="http://schemas.microsoft.com/office/drawing/2014/main" id="{9E7E6C90-C4DE-4F52-9321-CE1E7589E313}"/>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04" name="Text Box 48">
          <a:extLst>
            <a:ext uri="{FF2B5EF4-FFF2-40B4-BE49-F238E27FC236}">
              <a16:creationId xmlns="" xmlns:a16="http://schemas.microsoft.com/office/drawing/2014/main" id="{640BD53D-8CE9-426E-B8F0-6D5CDC0D7037}"/>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05" name="Text Box 49">
          <a:extLst>
            <a:ext uri="{FF2B5EF4-FFF2-40B4-BE49-F238E27FC236}">
              <a16:creationId xmlns="" xmlns:a16="http://schemas.microsoft.com/office/drawing/2014/main" id="{8839ED37-AB96-4E98-983B-1A008906A467}"/>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06" name="Text Box 50">
          <a:extLst>
            <a:ext uri="{FF2B5EF4-FFF2-40B4-BE49-F238E27FC236}">
              <a16:creationId xmlns="" xmlns:a16="http://schemas.microsoft.com/office/drawing/2014/main" id="{0F7CD73E-892E-4B75-89C3-F535CFCB549A}"/>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07" name="Text Box 64">
          <a:extLst>
            <a:ext uri="{FF2B5EF4-FFF2-40B4-BE49-F238E27FC236}">
              <a16:creationId xmlns="" xmlns:a16="http://schemas.microsoft.com/office/drawing/2014/main" id="{2073002E-A7E9-486F-96E3-E37DFF96255F}"/>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08" name="Text Box 65">
          <a:extLst>
            <a:ext uri="{FF2B5EF4-FFF2-40B4-BE49-F238E27FC236}">
              <a16:creationId xmlns="" xmlns:a16="http://schemas.microsoft.com/office/drawing/2014/main" id="{47A224C3-BC0E-473D-807B-F4D35C3094C4}"/>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09" name="Text Box 66">
          <a:extLst>
            <a:ext uri="{FF2B5EF4-FFF2-40B4-BE49-F238E27FC236}">
              <a16:creationId xmlns="" xmlns:a16="http://schemas.microsoft.com/office/drawing/2014/main" id="{14E9EB32-3094-46E5-B2BE-D0E5D7BCE35B}"/>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10" name="Text Box 67">
          <a:extLst>
            <a:ext uri="{FF2B5EF4-FFF2-40B4-BE49-F238E27FC236}">
              <a16:creationId xmlns="" xmlns:a16="http://schemas.microsoft.com/office/drawing/2014/main" id="{B6FF695D-F1B0-45DA-AFC6-273B4D6361B7}"/>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411" name="Text Box 68">
          <a:extLst>
            <a:ext uri="{FF2B5EF4-FFF2-40B4-BE49-F238E27FC236}">
              <a16:creationId xmlns="" xmlns:a16="http://schemas.microsoft.com/office/drawing/2014/main" id="{7D6D811A-88ED-49F5-8927-80DA1B20B2B0}"/>
            </a:ext>
          </a:extLst>
        </xdr:cNvPr>
        <xdr:cNvSpPr txBox="1">
          <a:spLocks noChangeArrowheads="1"/>
        </xdr:cNvSpPr>
      </xdr:nvSpPr>
      <xdr:spPr bwMode="auto">
        <a:xfrm>
          <a:off x="9960429"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412" name="Text Box 69">
          <a:extLst>
            <a:ext uri="{FF2B5EF4-FFF2-40B4-BE49-F238E27FC236}">
              <a16:creationId xmlns="" xmlns:a16="http://schemas.microsoft.com/office/drawing/2014/main" id="{3CBDF27F-BD9A-4787-A585-01F53C0000EF}"/>
            </a:ext>
          </a:extLst>
        </xdr:cNvPr>
        <xdr:cNvSpPr txBox="1">
          <a:spLocks noChangeArrowheads="1"/>
        </xdr:cNvSpPr>
      </xdr:nvSpPr>
      <xdr:spPr bwMode="auto">
        <a:xfrm>
          <a:off x="9960429"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13" name="Text Box 70">
          <a:extLst>
            <a:ext uri="{FF2B5EF4-FFF2-40B4-BE49-F238E27FC236}">
              <a16:creationId xmlns="" xmlns:a16="http://schemas.microsoft.com/office/drawing/2014/main" id="{EC5877FF-8458-47B3-BD63-C00EC25F5EC8}"/>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14" name="Text Box 71">
          <a:extLst>
            <a:ext uri="{FF2B5EF4-FFF2-40B4-BE49-F238E27FC236}">
              <a16:creationId xmlns="" xmlns:a16="http://schemas.microsoft.com/office/drawing/2014/main" id="{DB4DE42B-9FD1-4054-8054-8E4D19667204}"/>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15" name="Text Box 72">
          <a:extLst>
            <a:ext uri="{FF2B5EF4-FFF2-40B4-BE49-F238E27FC236}">
              <a16:creationId xmlns="" xmlns:a16="http://schemas.microsoft.com/office/drawing/2014/main" id="{CAC9B7CC-0F68-4973-A1AD-3ACC72C9DB83}"/>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16" name="Text Box 73">
          <a:extLst>
            <a:ext uri="{FF2B5EF4-FFF2-40B4-BE49-F238E27FC236}">
              <a16:creationId xmlns="" xmlns:a16="http://schemas.microsoft.com/office/drawing/2014/main" id="{9C70FA7B-8BB8-4088-BE28-12AF9787F271}"/>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1417" name="Text Box 19">
          <a:extLst>
            <a:ext uri="{FF2B5EF4-FFF2-40B4-BE49-F238E27FC236}">
              <a16:creationId xmlns="" xmlns:a16="http://schemas.microsoft.com/office/drawing/2014/main" id="{D66C2533-E85E-4882-A495-10CA0ED2850D}"/>
            </a:ext>
          </a:extLst>
        </xdr:cNvPr>
        <xdr:cNvSpPr txBox="1">
          <a:spLocks noChangeArrowheads="1"/>
        </xdr:cNvSpPr>
      </xdr:nvSpPr>
      <xdr:spPr bwMode="auto">
        <a:xfrm>
          <a:off x="9361714" y="3954018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1418" name="Text Box 20">
          <a:extLst>
            <a:ext uri="{FF2B5EF4-FFF2-40B4-BE49-F238E27FC236}">
              <a16:creationId xmlns="" xmlns:a16="http://schemas.microsoft.com/office/drawing/2014/main" id="{89309479-5D17-4CE3-AF32-CE6940C34C15}"/>
            </a:ext>
          </a:extLst>
        </xdr:cNvPr>
        <xdr:cNvSpPr txBox="1">
          <a:spLocks noChangeArrowheads="1"/>
        </xdr:cNvSpPr>
      </xdr:nvSpPr>
      <xdr:spPr bwMode="auto">
        <a:xfrm>
          <a:off x="9361714" y="3954018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19" name="Text Box 21">
          <a:extLst>
            <a:ext uri="{FF2B5EF4-FFF2-40B4-BE49-F238E27FC236}">
              <a16:creationId xmlns="" xmlns:a16="http://schemas.microsoft.com/office/drawing/2014/main" id="{CD23A83B-21DC-4AD3-A2A1-3BE1DF3C05C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20" name="Text Box 22">
          <a:extLst>
            <a:ext uri="{FF2B5EF4-FFF2-40B4-BE49-F238E27FC236}">
              <a16:creationId xmlns="" xmlns:a16="http://schemas.microsoft.com/office/drawing/2014/main" id="{081CEFE9-4B41-4A59-BBAC-18B7F51A12B5}"/>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21" name="Text Box 23">
          <a:extLst>
            <a:ext uri="{FF2B5EF4-FFF2-40B4-BE49-F238E27FC236}">
              <a16:creationId xmlns="" xmlns:a16="http://schemas.microsoft.com/office/drawing/2014/main" id="{1AF9CDA7-558F-4F9A-B312-EAD3756A89C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22" name="Text Box 24">
          <a:extLst>
            <a:ext uri="{FF2B5EF4-FFF2-40B4-BE49-F238E27FC236}">
              <a16:creationId xmlns="" xmlns:a16="http://schemas.microsoft.com/office/drawing/2014/main" id="{D2DAAE93-AA00-421A-821D-659F642CEF40}"/>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23" name="Text Box 25">
          <a:extLst>
            <a:ext uri="{FF2B5EF4-FFF2-40B4-BE49-F238E27FC236}">
              <a16:creationId xmlns="" xmlns:a16="http://schemas.microsoft.com/office/drawing/2014/main" id="{6FD18471-2E7A-48BB-9D06-8660E5005573}"/>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24" name="Text Box 26">
          <a:extLst>
            <a:ext uri="{FF2B5EF4-FFF2-40B4-BE49-F238E27FC236}">
              <a16:creationId xmlns="" xmlns:a16="http://schemas.microsoft.com/office/drawing/2014/main" id="{95FC2BCB-2826-4F69-82BD-07F08025A489}"/>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25" name="Text Box 27">
          <a:extLst>
            <a:ext uri="{FF2B5EF4-FFF2-40B4-BE49-F238E27FC236}">
              <a16:creationId xmlns="" xmlns:a16="http://schemas.microsoft.com/office/drawing/2014/main" id="{B57D7BD8-0FC2-450E-9BD1-0BE4EFD09C08}"/>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26" name="Text Box 28">
          <a:extLst>
            <a:ext uri="{FF2B5EF4-FFF2-40B4-BE49-F238E27FC236}">
              <a16:creationId xmlns="" xmlns:a16="http://schemas.microsoft.com/office/drawing/2014/main" id="{F1F2CDCE-BB68-477C-865E-7D12A74618A3}"/>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27" name="Text Box 29">
          <a:extLst>
            <a:ext uri="{FF2B5EF4-FFF2-40B4-BE49-F238E27FC236}">
              <a16:creationId xmlns="" xmlns:a16="http://schemas.microsoft.com/office/drawing/2014/main" id="{B5F93F4D-71CB-4478-A76C-4D5E44443B9D}"/>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28" name="Text Box 30">
          <a:extLst>
            <a:ext uri="{FF2B5EF4-FFF2-40B4-BE49-F238E27FC236}">
              <a16:creationId xmlns="" xmlns:a16="http://schemas.microsoft.com/office/drawing/2014/main" id="{458BBF60-DDB0-4C6A-AFD5-1B1D1719672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29" name="Text Box 31">
          <a:extLst>
            <a:ext uri="{FF2B5EF4-FFF2-40B4-BE49-F238E27FC236}">
              <a16:creationId xmlns="" xmlns:a16="http://schemas.microsoft.com/office/drawing/2014/main" id="{0E41B01F-FF7C-4253-99B9-9E26111D4A0D}"/>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30" name="Text Box 32">
          <a:extLst>
            <a:ext uri="{FF2B5EF4-FFF2-40B4-BE49-F238E27FC236}">
              <a16:creationId xmlns="" xmlns:a16="http://schemas.microsoft.com/office/drawing/2014/main" id="{9CB441D4-3E6F-41DD-8CDE-235E5260696C}"/>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31" name="Text Box 33">
          <a:extLst>
            <a:ext uri="{FF2B5EF4-FFF2-40B4-BE49-F238E27FC236}">
              <a16:creationId xmlns="" xmlns:a16="http://schemas.microsoft.com/office/drawing/2014/main" id="{C3005C1A-C26F-451C-9C81-AB2200901E8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32" name="Text Box 34">
          <a:extLst>
            <a:ext uri="{FF2B5EF4-FFF2-40B4-BE49-F238E27FC236}">
              <a16:creationId xmlns="" xmlns:a16="http://schemas.microsoft.com/office/drawing/2014/main" id="{4AB76FAD-DCCB-4216-A727-2B0603239FCD}"/>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1433" name="Text Box 35">
          <a:extLst>
            <a:ext uri="{FF2B5EF4-FFF2-40B4-BE49-F238E27FC236}">
              <a16:creationId xmlns="" xmlns:a16="http://schemas.microsoft.com/office/drawing/2014/main" id="{FCC8D980-546C-4DF3-A201-B36EC377BCA3}"/>
            </a:ext>
          </a:extLst>
        </xdr:cNvPr>
        <xdr:cNvSpPr txBox="1">
          <a:spLocks noChangeArrowheads="1"/>
        </xdr:cNvSpPr>
      </xdr:nvSpPr>
      <xdr:spPr bwMode="auto">
        <a:xfrm>
          <a:off x="9361714"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1434" name="Text Box 36">
          <a:extLst>
            <a:ext uri="{FF2B5EF4-FFF2-40B4-BE49-F238E27FC236}">
              <a16:creationId xmlns="" xmlns:a16="http://schemas.microsoft.com/office/drawing/2014/main" id="{C16B253A-F9D6-4D8F-93BF-9E01B15D4F34}"/>
            </a:ext>
          </a:extLst>
        </xdr:cNvPr>
        <xdr:cNvSpPr txBox="1">
          <a:spLocks noChangeArrowheads="1"/>
        </xdr:cNvSpPr>
      </xdr:nvSpPr>
      <xdr:spPr bwMode="auto">
        <a:xfrm>
          <a:off x="9361714"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35" name="Text Box 37">
          <a:extLst>
            <a:ext uri="{FF2B5EF4-FFF2-40B4-BE49-F238E27FC236}">
              <a16:creationId xmlns="" xmlns:a16="http://schemas.microsoft.com/office/drawing/2014/main" id="{4FE1C295-2E40-48B8-8BB9-A319E35C6BB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36" name="Text Box 38">
          <a:extLst>
            <a:ext uri="{FF2B5EF4-FFF2-40B4-BE49-F238E27FC236}">
              <a16:creationId xmlns="" xmlns:a16="http://schemas.microsoft.com/office/drawing/2014/main" id="{BDEDBB6F-52CB-471F-863C-472A5B79AD76}"/>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37" name="Text Box 39">
          <a:extLst>
            <a:ext uri="{FF2B5EF4-FFF2-40B4-BE49-F238E27FC236}">
              <a16:creationId xmlns="" xmlns:a16="http://schemas.microsoft.com/office/drawing/2014/main" id="{09873206-5C10-419B-8CCB-D7D66235F399}"/>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38" name="Text Box 40">
          <a:extLst>
            <a:ext uri="{FF2B5EF4-FFF2-40B4-BE49-F238E27FC236}">
              <a16:creationId xmlns="" xmlns:a16="http://schemas.microsoft.com/office/drawing/2014/main" id="{2CE42AA8-C715-4090-921C-F332590D462E}"/>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39" name="Text Box 41">
          <a:extLst>
            <a:ext uri="{FF2B5EF4-FFF2-40B4-BE49-F238E27FC236}">
              <a16:creationId xmlns="" xmlns:a16="http://schemas.microsoft.com/office/drawing/2014/main" id="{E11337CA-C19D-4F89-8DE7-741B4AE7B23D}"/>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40" name="Text Box 42">
          <a:extLst>
            <a:ext uri="{FF2B5EF4-FFF2-40B4-BE49-F238E27FC236}">
              <a16:creationId xmlns="" xmlns:a16="http://schemas.microsoft.com/office/drawing/2014/main" id="{2632F389-A7DC-41CB-880D-BE1695F1E4DC}"/>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41" name="Text Box 43">
          <a:extLst>
            <a:ext uri="{FF2B5EF4-FFF2-40B4-BE49-F238E27FC236}">
              <a16:creationId xmlns="" xmlns:a16="http://schemas.microsoft.com/office/drawing/2014/main" id="{42870BF5-38AE-4283-857E-8F61568DD3A4}"/>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42" name="Text Box 44">
          <a:extLst>
            <a:ext uri="{FF2B5EF4-FFF2-40B4-BE49-F238E27FC236}">
              <a16:creationId xmlns="" xmlns:a16="http://schemas.microsoft.com/office/drawing/2014/main" id="{35D1AA63-379B-45E5-9110-7983772590CE}"/>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43" name="Text Box 45">
          <a:extLst>
            <a:ext uri="{FF2B5EF4-FFF2-40B4-BE49-F238E27FC236}">
              <a16:creationId xmlns="" xmlns:a16="http://schemas.microsoft.com/office/drawing/2014/main" id="{E198AF60-31DE-4956-A213-DF673FF5E015}"/>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44" name="Text Box 46">
          <a:extLst>
            <a:ext uri="{FF2B5EF4-FFF2-40B4-BE49-F238E27FC236}">
              <a16:creationId xmlns="" xmlns:a16="http://schemas.microsoft.com/office/drawing/2014/main" id="{481118E5-1A80-4CA1-9EB2-71F03C54BBC5}"/>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45" name="Text Box 47">
          <a:extLst>
            <a:ext uri="{FF2B5EF4-FFF2-40B4-BE49-F238E27FC236}">
              <a16:creationId xmlns="" xmlns:a16="http://schemas.microsoft.com/office/drawing/2014/main" id="{B6A10C9B-082F-4B85-B186-6AA81E7439B5}"/>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46" name="Text Box 48">
          <a:extLst>
            <a:ext uri="{FF2B5EF4-FFF2-40B4-BE49-F238E27FC236}">
              <a16:creationId xmlns="" xmlns:a16="http://schemas.microsoft.com/office/drawing/2014/main" id="{B8332DEA-D293-4DAE-A937-A00DD28861B1}"/>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47" name="Text Box 49">
          <a:extLst>
            <a:ext uri="{FF2B5EF4-FFF2-40B4-BE49-F238E27FC236}">
              <a16:creationId xmlns="" xmlns:a16="http://schemas.microsoft.com/office/drawing/2014/main" id="{922B2558-F3EF-41A9-BD64-F60AB923D905}"/>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48" name="Text Box 50">
          <a:extLst>
            <a:ext uri="{FF2B5EF4-FFF2-40B4-BE49-F238E27FC236}">
              <a16:creationId xmlns="" xmlns:a16="http://schemas.microsoft.com/office/drawing/2014/main" id="{54216725-4D2C-4C5B-B9DD-2E11F998DC77}"/>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449" name="Text Box 51">
          <a:extLst>
            <a:ext uri="{FF2B5EF4-FFF2-40B4-BE49-F238E27FC236}">
              <a16:creationId xmlns="" xmlns:a16="http://schemas.microsoft.com/office/drawing/2014/main" id="{E75CB5B5-6711-4088-96CE-FB3EFDD24728}"/>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450" name="Text Box 52">
          <a:extLst>
            <a:ext uri="{FF2B5EF4-FFF2-40B4-BE49-F238E27FC236}">
              <a16:creationId xmlns="" xmlns:a16="http://schemas.microsoft.com/office/drawing/2014/main" id="{E53DDC07-0CFE-42A5-AC58-038A895A1191}"/>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451" name="Text Box 53">
          <a:extLst>
            <a:ext uri="{FF2B5EF4-FFF2-40B4-BE49-F238E27FC236}">
              <a16:creationId xmlns="" xmlns:a16="http://schemas.microsoft.com/office/drawing/2014/main" id="{31CF6925-807E-4E2F-9CCB-EAF3DF635004}"/>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452" name="Text Box 54">
          <a:extLst>
            <a:ext uri="{FF2B5EF4-FFF2-40B4-BE49-F238E27FC236}">
              <a16:creationId xmlns="" xmlns:a16="http://schemas.microsoft.com/office/drawing/2014/main" id="{8347AF68-9F30-4CFC-9EF0-24B97B826C85}"/>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53" name="Text Box 55">
          <a:extLst>
            <a:ext uri="{FF2B5EF4-FFF2-40B4-BE49-F238E27FC236}">
              <a16:creationId xmlns="" xmlns:a16="http://schemas.microsoft.com/office/drawing/2014/main" id="{C3B333EC-3844-4223-A11D-C3D4CDC65ED1}"/>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54" name="Text Box 56">
          <a:extLst>
            <a:ext uri="{FF2B5EF4-FFF2-40B4-BE49-F238E27FC236}">
              <a16:creationId xmlns="" xmlns:a16="http://schemas.microsoft.com/office/drawing/2014/main" id="{619C4245-325E-44F1-B292-27D85F1860D4}"/>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455" name="Text Box 57">
          <a:extLst>
            <a:ext uri="{FF2B5EF4-FFF2-40B4-BE49-F238E27FC236}">
              <a16:creationId xmlns="" xmlns:a16="http://schemas.microsoft.com/office/drawing/2014/main" id="{40933AD9-D672-4F2F-B518-9E1BB8AA6218}"/>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456" name="Text Box 58">
          <a:extLst>
            <a:ext uri="{FF2B5EF4-FFF2-40B4-BE49-F238E27FC236}">
              <a16:creationId xmlns="" xmlns:a16="http://schemas.microsoft.com/office/drawing/2014/main" id="{ACCEB762-83A7-42AF-B754-EC3BC5AC0256}"/>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57" name="Text Box 59">
          <a:extLst>
            <a:ext uri="{FF2B5EF4-FFF2-40B4-BE49-F238E27FC236}">
              <a16:creationId xmlns="" xmlns:a16="http://schemas.microsoft.com/office/drawing/2014/main" id="{796FFC31-5BFD-4DDC-8574-6B10F7E75888}"/>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58" name="Text Box 60">
          <a:extLst>
            <a:ext uri="{FF2B5EF4-FFF2-40B4-BE49-F238E27FC236}">
              <a16:creationId xmlns="" xmlns:a16="http://schemas.microsoft.com/office/drawing/2014/main" id="{9A3CA791-7951-41E8-9A10-4843527B777B}"/>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59" name="Text Box 61">
          <a:extLst>
            <a:ext uri="{FF2B5EF4-FFF2-40B4-BE49-F238E27FC236}">
              <a16:creationId xmlns="" xmlns:a16="http://schemas.microsoft.com/office/drawing/2014/main" id="{C52B5D82-B142-4E8F-9FFF-CEC144C0CA1D}"/>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60" name="Text Box 62">
          <a:extLst>
            <a:ext uri="{FF2B5EF4-FFF2-40B4-BE49-F238E27FC236}">
              <a16:creationId xmlns="" xmlns:a16="http://schemas.microsoft.com/office/drawing/2014/main" id="{8556552E-2DB9-48D7-8781-EF5485E1E5BE}"/>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61" name="Text Box 63">
          <a:extLst>
            <a:ext uri="{FF2B5EF4-FFF2-40B4-BE49-F238E27FC236}">
              <a16:creationId xmlns="" xmlns:a16="http://schemas.microsoft.com/office/drawing/2014/main" id="{DB1F1D0F-B878-4BFC-981A-E196D486E803}"/>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62" name="Text Box 64">
          <a:extLst>
            <a:ext uri="{FF2B5EF4-FFF2-40B4-BE49-F238E27FC236}">
              <a16:creationId xmlns="" xmlns:a16="http://schemas.microsoft.com/office/drawing/2014/main" id="{5C2BA283-833C-41C6-9855-D7442B513F6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463" name="Text Box 65">
          <a:extLst>
            <a:ext uri="{FF2B5EF4-FFF2-40B4-BE49-F238E27FC236}">
              <a16:creationId xmlns="" xmlns:a16="http://schemas.microsoft.com/office/drawing/2014/main" id="{F7428F07-AAC1-4674-91E1-F5AF573740F7}"/>
            </a:ext>
          </a:extLst>
        </xdr:cNvPr>
        <xdr:cNvSpPr txBox="1">
          <a:spLocks noChangeArrowheads="1"/>
        </xdr:cNvSpPr>
      </xdr:nvSpPr>
      <xdr:spPr bwMode="auto">
        <a:xfrm>
          <a:off x="9361714" y="3954018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464" name="Text Box 66">
          <a:extLst>
            <a:ext uri="{FF2B5EF4-FFF2-40B4-BE49-F238E27FC236}">
              <a16:creationId xmlns="" xmlns:a16="http://schemas.microsoft.com/office/drawing/2014/main" id="{99FE1F97-F32A-4388-A50D-434070BFF4B9}"/>
            </a:ext>
          </a:extLst>
        </xdr:cNvPr>
        <xdr:cNvSpPr txBox="1">
          <a:spLocks noChangeArrowheads="1"/>
        </xdr:cNvSpPr>
      </xdr:nvSpPr>
      <xdr:spPr bwMode="auto">
        <a:xfrm>
          <a:off x="9361714" y="3954018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1465" name="Text Box 67">
          <a:extLst>
            <a:ext uri="{FF2B5EF4-FFF2-40B4-BE49-F238E27FC236}">
              <a16:creationId xmlns="" xmlns:a16="http://schemas.microsoft.com/office/drawing/2014/main" id="{AA96320C-1ECE-442D-B31D-E535493CFE8A}"/>
            </a:ext>
          </a:extLst>
        </xdr:cNvPr>
        <xdr:cNvSpPr txBox="1">
          <a:spLocks noChangeArrowheads="1"/>
        </xdr:cNvSpPr>
      </xdr:nvSpPr>
      <xdr:spPr bwMode="auto">
        <a:xfrm>
          <a:off x="9361714" y="3954018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1466" name="Text Box 68">
          <a:extLst>
            <a:ext uri="{FF2B5EF4-FFF2-40B4-BE49-F238E27FC236}">
              <a16:creationId xmlns="" xmlns:a16="http://schemas.microsoft.com/office/drawing/2014/main" id="{B2A584D0-481B-44BE-B036-FB0A08CE18ED}"/>
            </a:ext>
          </a:extLst>
        </xdr:cNvPr>
        <xdr:cNvSpPr txBox="1">
          <a:spLocks noChangeArrowheads="1"/>
        </xdr:cNvSpPr>
      </xdr:nvSpPr>
      <xdr:spPr bwMode="auto">
        <a:xfrm>
          <a:off x="9361714" y="3954018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467" name="Text Box 69">
          <a:extLst>
            <a:ext uri="{FF2B5EF4-FFF2-40B4-BE49-F238E27FC236}">
              <a16:creationId xmlns="" xmlns:a16="http://schemas.microsoft.com/office/drawing/2014/main" id="{B8DFF494-E757-4FDB-AE81-B3323259834F}"/>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468" name="Text Box 70">
          <a:extLst>
            <a:ext uri="{FF2B5EF4-FFF2-40B4-BE49-F238E27FC236}">
              <a16:creationId xmlns="" xmlns:a16="http://schemas.microsoft.com/office/drawing/2014/main" id="{7F1A99DC-A9F7-4650-BE13-92D3714586D3}"/>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469" name="Text Box 71">
          <a:extLst>
            <a:ext uri="{FF2B5EF4-FFF2-40B4-BE49-F238E27FC236}">
              <a16:creationId xmlns="" xmlns:a16="http://schemas.microsoft.com/office/drawing/2014/main" id="{1FD82C80-0323-428C-8469-6E7D0D2124E2}"/>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470" name="Text Box 72">
          <a:extLst>
            <a:ext uri="{FF2B5EF4-FFF2-40B4-BE49-F238E27FC236}">
              <a16:creationId xmlns="" xmlns:a16="http://schemas.microsoft.com/office/drawing/2014/main" id="{4103C1BF-B60C-4660-9CF2-442E0A75295A}"/>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71" name="Text Box 73">
          <a:extLst>
            <a:ext uri="{FF2B5EF4-FFF2-40B4-BE49-F238E27FC236}">
              <a16:creationId xmlns="" xmlns:a16="http://schemas.microsoft.com/office/drawing/2014/main" id="{3FF36C48-EEC4-4D4B-AC74-4D675F8B1A24}"/>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72" name="Text Box 74">
          <a:extLst>
            <a:ext uri="{FF2B5EF4-FFF2-40B4-BE49-F238E27FC236}">
              <a16:creationId xmlns="" xmlns:a16="http://schemas.microsoft.com/office/drawing/2014/main" id="{A7662F21-B8F8-4F5A-BC54-121583299A6C}"/>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73" name="Text Box 75">
          <a:extLst>
            <a:ext uri="{FF2B5EF4-FFF2-40B4-BE49-F238E27FC236}">
              <a16:creationId xmlns="" xmlns:a16="http://schemas.microsoft.com/office/drawing/2014/main" id="{CCE2B965-2EF5-4694-A6C4-410EF028CE17}"/>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74" name="Text Box 76">
          <a:extLst>
            <a:ext uri="{FF2B5EF4-FFF2-40B4-BE49-F238E27FC236}">
              <a16:creationId xmlns="" xmlns:a16="http://schemas.microsoft.com/office/drawing/2014/main" id="{CC6EB77B-A02C-4CEC-BFB4-285FE38D6823}"/>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75" name="Text Box 77">
          <a:extLst>
            <a:ext uri="{FF2B5EF4-FFF2-40B4-BE49-F238E27FC236}">
              <a16:creationId xmlns="" xmlns:a16="http://schemas.microsoft.com/office/drawing/2014/main" id="{91DDB499-109C-40D6-BA02-45594043135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76" name="Text Box 78">
          <a:extLst>
            <a:ext uri="{FF2B5EF4-FFF2-40B4-BE49-F238E27FC236}">
              <a16:creationId xmlns="" xmlns:a16="http://schemas.microsoft.com/office/drawing/2014/main" id="{BF09EE93-96C2-4A85-8811-FAEF6CE59810}"/>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477" name="Text Box 79">
          <a:extLst>
            <a:ext uri="{FF2B5EF4-FFF2-40B4-BE49-F238E27FC236}">
              <a16:creationId xmlns="" xmlns:a16="http://schemas.microsoft.com/office/drawing/2014/main" id="{79FABD78-0836-47C6-8170-09C90A6466DE}"/>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478" name="Text Box 80">
          <a:extLst>
            <a:ext uri="{FF2B5EF4-FFF2-40B4-BE49-F238E27FC236}">
              <a16:creationId xmlns="" xmlns:a16="http://schemas.microsoft.com/office/drawing/2014/main" id="{4D66A817-DDBD-47CD-ADB6-2235E8F592B7}"/>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79" name="Text Box 81">
          <a:extLst>
            <a:ext uri="{FF2B5EF4-FFF2-40B4-BE49-F238E27FC236}">
              <a16:creationId xmlns="" xmlns:a16="http://schemas.microsoft.com/office/drawing/2014/main" id="{2AC482F9-7C35-49E1-A0D0-7F92827D0D97}"/>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80" name="Text Box 82">
          <a:extLst>
            <a:ext uri="{FF2B5EF4-FFF2-40B4-BE49-F238E27FC236}">
              <a16:creationId xmlns="" xmlns:a16="http://schemas.microsoft.com/office/drawing/2014/main" id="{1F1D532D-E030-4441-9DF0-D45DF25E724A}"/>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81" name="Text Box 83">
          <a:extLst>
            <a:ext uri="{FF2B5EF4-FFF2-40B4-BE49-F238E27FC236}">
              <a16:creationId xmlns="" xmlns:a16="http://schemas.microsoft.com/office/drawing/2014/main" id="{37F1A004-6810-4841-8A12-0CF4EA6107D4}"/>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82" name="Text Box 84">
          <a:extLst>
            <a:ext uri="{FF2B5EF4-FFF2-40B4-BE49-F238E27FC236}">
              <a16:creationId xmlns="" xmlns:a16="http://schemas.microsoft.com/office/drawing/2014/main" id="{4AD87DA1-BD79-4F23-A04D-A74A4EE43431}"/>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83" name="Text Box 85">
          <a:extLst>
            <a:ext uri="{FF2B5EF4-FFF2-40B4-BE49-F238E27FC236}">
              <a16:creationId xmlns="" xmlns:a16="http://schemas.microsoft.com/office/drawing/2014/main" id="{3EF21364-6A47-49E4-8736-CD023DE77DDD}"/>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84" name="Text Box 86">
          <a:extLst>
            <a:ext uri="{FF2B5EF4-FFF2-40B4-BE49-F238E27FC236}">
              <a16:creationId xmlns="" xmlns:a16="http://schemas.microsoft.com/office/drawing/2014/main" id="{484AC10C-1070-4078-8712-285C8B901722}"/>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85" name="Text Box 87">
          <a:extLst>
            <a:ext uri="{FF2B5EF4-FFF2-40B4-BE49-F238E27FC236}">
              <a16:creationId xmlns="" xmlns:a16="http://schemas.microsoft.com/office/drawing/2014/main" id="{52914831-45AD-46E1-BC22-E0FE63B3F24E}"/>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86" name="Text Box 88">
          <a:extLst>
            <a:ext uri="{FF2B5EF4-FFF2-40B4-BE49-F238E27FC236}">
              <a16:creationId xmlns="" xmlns:a16="http://schemas.microsoft.com/office/drawing/2014/main" id="{401AB111-B259-444C-B6B1-91CFAB12F8BC}"/>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87" name="Text Box 89">
          <a:extLst>
            <a:ext uri="{FF2B5EF4-FFF2-40B4-BE49-F238E27FC236}">
              <a16:creationId xmlns="" xmlns:a16="http://schemas.microsoft.com/office/drawing/2014/main" id="{A3C0FB5E-289D-492E-9990-64E60187D9F4}"/>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88" name="Text Box 90">
          <a:extLst>
            <a:ext uri="{FF2B5EF4-FFF2-40B4-BE49-F238E27FC236}">
              <a16:creationId xmlns="" xmlns:a16="http://schemas.microsoft.com/office/drawing/2014/main" id="{D2C254D2-3531-4E77-AA8C-9EE2BF0850B3}"/>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489" name="Text Box 91">
          <a:extLst>
            <a:ext uri="{FF2B5EF4-FFF2-40B4-BE49-F238E27FC236}">
              <a16:creationId xmlns="" xmlns:a16="http://schemas.microsoft.com/office/drawing/2014/main" id="{34FF36BF-326D-4734-8073-06C113CD6FAF}"/>
            </a:ext>
          </a:extLst>
        </xdr:cNvPr>
        <xdr:cNvSpPr txBox="1">
          <a:spLocks noChangeArrowheads="1"/>
        </xdr:cNvSpPr>
      </xdr:nvSpPr>
      <xdr:spPr bwMode="auto">
        <a:xfrm>
          <a:off x="9960429"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490" name="Text Box 92">
          <a:extLst>
            <a:ext uri="{FF2B5EF4-FFF2-40B4-BE49-F238E27FC236}">
              <a16:creationId xmlns="" xmlns:a16="http://schemas.microsoft.com/office/drawing/2014/main" id="{FC72F2FB-9779-4416-B8FD-362E35DFB84C}"/>
            </a:ext>
          </a:extLst>
        </xdr:cNvPr>
        <xdr:cNvSpPr txBox="1">
          <a:spLocks noChangeArrowheads="1"/>
        </xdr:cNvSpPr>
      </xdr:nvSpPr>
      <xdr:spPr bwMode="auto">
        <a:xfrm>
          <a:off x="9960429"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91" name="Text Box 93">
          <a:extLst>
            <a:ext uri="{FF2B5EF4-FFF2-40B4-BE49-F238E27FC236}">
              <a16:creationId xmlns="" xmlns:a16="http://schemas.microsoft.com/office/drawing/2014/main" id="{41324DDC-6A68-45DD-9415-F7D580059E74}"/>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492" name="Text Box 94">
          <a:extLst>
            <a:ext uri="{FF2B5EF4-FFF2-40B4-BE49-F238E27FC236}">
              <a16:creationId xmlns="" xmlns:a16="http://schemas.microsoft.com/office/drawing/2014/main" id="{0ED727CE-481A-4554-BE56-1BEF6187361F}"/>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93" name="Text Box 95">
          <a:extLst>
            <a:ext uri="{FF2B5EF4-FFF2-40B4-BE49-F238E27FC236}">
              <a16:creationId xmlns="" xmlns:a16="http://schemas.microsoft.com/office/drawing/2014/main" id="{5FCB4737-EB74-4621-BD01-FFF43FD868B3}"/>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94" name="Text Box 96">
          <a:extLst>
            <a:ext uri="{FF2B5EF4-FFF2-40B4-BE49-F238E27FC236}">
              <a16:creationId xmlns="" xmlns:a16="http://schemas.microsoft.com/office/drawing/2014/main" id="{D01CA242-54D7-445F-8CAC-31557E4EF85C}"/>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1495" name="Text Box 97">
          <a:extLst>
            <a:ext uri="{FF2B5EF4-FFF2-40B4-BE49-F238E27FC236}">
              <a16:creationId xmlns="" xmlns:a16="http://schemas.microsoft.com/office/drawing/2014/main" id="{C81359A3-51A9-4C0C-A6A5-B2C0C35C7916}"/>
            </a:ext>
          </a:extLst>
        </xdr:cNvPr>
        <xdr:cNvSpPr txBox="1">
          <a:spLocks noChangeArrowheads="1"/>
        </xdr:cNvSpPr>
      </xdr:nvSpPr>
      <xdr:spPr bwMode="auto">
        <a:xfrm>
          <a:off x="9361714" y="3954018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1496" name="Text Box 98">
          <a:extLst>
            <a:ext uri="{FF2B5EF4-FFF2-40B4-BE49-F238E27FC236}">
              <a16:creationId xmlns="" xmlns:a16="http://schemas.microsoft.com/office/drawing/2014/main" id="{96446975-2F2D-4447-980B-F02BECACA10D}"/>
            </a:ext>
          </a:extLst>
        </xdr:cNvPr>
        <xdr:cNvSpPr txBox="1">
          <a:spLocks noChangeArrowheads="1"/>
        </xdr:cNvSpPr>
      </xdr:nvSpPr>
      <xdr:spPr bwMode="auto">
        <a:xfrm>
          <a:off x="9361714" y="3954018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97" name="Text Box 99">
          <a:extLst>
            <a:ext uri="{FF2B5EF4-FFF2-40B4-BE49-F238E27FC236}">
              <a16:creationId xmlns="" xmlns:a16="http://schemas.microsoft.com/office/drawing/2014/main" id="{1DFBE119-8BF2-424B-BBB1-F52B110983D8}"/>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498" name="Text Box 100">
          <a:extLst>
            <a:ext uri="{FF2B5EF4-FFF2-40B4-BE49-F238E27FC236}">
              <a16:creationId xmlns="" xmlns:a16="http://schemas.microsoft.com/office/drawing/2014/main" id="{B6F7F8D9-CC79-4AE5-A551-A607B4C67C9D}"/>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499" name="Text Box 101">
          <a:extLst>
            <a:ext uri="{FF2B5EF4-FFF2-40B4-BE49-F238E27FC236}">
              <a16:creationId xmlns="" xmlns:a16="http://schemas.microsoft.com/office/drawing/2014/main" id="{AC80145E-9A4D-4552-BCE0-6A1C69886B8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00" name="Text Box 102">
          <a:extLst>
            <a:ext uri="{FF2B5EF4-FFF2-40B4-BE49-F238E27FC236}">
              <a16:creationId xmlns="" xmlns:a16="http://schemas.microsoft.com/office/drawing/2014/main" id="{7C194624-CB2A-422C-BB2E-4866AD25DAED}"/>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01" name="Text Box 103">
          <a:extLst>
            <a:ext uri="{FF2B5EF4-FFF2-40B4-BE49-F238E27FC236}">
              <a16:creationId xmlns="" xmlns:a16="http://schemas.microsoft.com/office/drawing/2014/main" id="{601EADEE-DE9B-4901-8D58-C53CFCA63918}"/>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02" name="Text Box 104">
          <a:extLst>
            <a:ext uri="{FF2B5EF4-FFF2-40B4-BE49-F238E27FC236}">
              <a16:creationId xmlns="" xmlns:a16="http://schemas.microsoft.com/office/drawing/2014/main" id="{B860900B-6870-4738-8386-D51DFF8F52A5}"/>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03" name="Text Box 105">
          <a:extLst>
            <a:ext uri="{FF2B5EF4-FFF2-40B4-BE49-F238E27FC236}">
              <a16:creationId xmlns="" xmlns:a16="http://schemas.microsoft.com/office/drawing/2014/main" id="{5B5D4AA5-43A1-49A0-ABA8-CE45EC23FE49}"/>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04" name="Text Box 106">
          <a:extLst>
            <a:ext uri="{FF2B5EF4-FFF2-40B4-BE49-F238E27FC236}">
              <a16:creationId xmlns="" xmlns:a16="http://schemas.microsoft.com/office/drawing/2014/main" id="{19FE1B36-1F2A-44FE-A942-77C5E486FD0B}"/>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05" name="Text Box 107">
          <a:extLst>
            <a:ext uri="{FF2B5EF4-FFF2-40B4-BE49-F238E27FC236}">
              <a16:creationId xmlns="" xmlns:a16="http://schemas.microsoft.com/office/drawing/2014/main" id="{1E8064DC-76A9-4939-B712-CD7521245E2C}"/>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06" name="Text Box 108">
          <a:extLst>
            <a:ext uri="{FF2B5EF4-FFF2-40B4-BE49-F238E27FC236}">
              <a16:creationId xmlns="" xmlns:a16="http://schemas.microsoft.com/office/drawing/2014/main" id="{4FB1A03F-3E61-479B-BDB5-C56CE3D259A3}"/>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07" name="Text Box 109">
          <a:extLst>
            <a:ext uri="{FF2B5EF4-FFF2-40B4-BE49-F238E27FC236}">
              <a16:creationId xmlns="" xmlns:a16="http://schemas.microsoft.com/office/drawing/2014/main" id="{58A79FD3-65AB-4639-81EB-B569FDDBB105}"/>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08" name="Text Box 110">
          <a:extLst>
            <a:ext uri="{FF2B5EF4-FFF2-40B4-BE49-F238E27FC236}">
              <a16:creationId xmlns="" xmlns:a16="http://schemas.microsoft.com/office/drawing/2014/main" id="{D0DDABA5-DA9F-423B-B563-A4B4B10293BB}"/>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09" name="Text Box 111">
          <a:extLst>
            <a:ext uri="{FF2B5EF4-FFF2-40B4-BE49-F238E27FC236}">
              <a16:creationId xmlns="" xmlns:a16="http://schemas.microsoft.com/office/drawing/2014/main" id="{0E8C7FEA-9A3A-45FE-9F3A-ECEE94A5DA80}"/>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10" name="Text Box 112">
          <a:extLst>
            <a:ext uri="{FF2B5EF4-FFF2-40B4-BE49-F238E27FC236}">
              <a16:creationId xmlns="" xmlns:a16="http://schemas.microsoft.com/office/drawing/2014/main" id="{EF7E98EB-733E-4528-90A2-160F4D9B9F87}"/>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1511" name="Text Box 113">
          <a:extLst>
            <a:ext uri="{FF2B5EF4-FFF2-40B4-BE49-F238E27FC236}">
              <a16:creationId xmlns="" xmlns:a16="http://schemas.microsoft.com/office/drawing/2014/main" id="{6AE25D38-C13E-49A8-98E5-FE49393543A1}"/>
            </a:ext>
          </a:extLst>
        </xdr:cNvPr>
        <xdr:cNvSpPr txBox="1">
          <a:spLocks noChangeArrowheads="1"/>
        </xdr:cNvSpPr>
      </xdr:nvSpPr>
      <xdr:spPr bwMode="auto">
        <a:xfrm>
          <a:off x="9361714"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1512" name="Text Box 114">
          <a:extLst>
            <a:ext uri="{FF2B5EF4-FFF2-40B4-BE49-F238E27FC236}">
              <a16:creationId xmlns="" xmlns:a16="http://schemas.microsoft.com/office/drawing/2014/main" id="{4D5EACFC-1053-4BA1-B82C-21A6EE0902CB}"/>
            </a:ext>
          </a:extLst>
        </xdr:cNvPr>
        <xdr:cNvSpPr txBox="1">
          <a:spLocks noChangeArrowheads="1"/>
        </xdr:cNvSpPr>
      </xdr:nvSpPr>
      <xdr:spPr bwMode="auto">
        <a:xfrm>
          <a:off x="9361714"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13" name="Text Box 115">
          <a:extLst>
            <a:ext uri="{FF2B5EF4-FFF2-40B4-BE49-F238E27FC236}">
              <a16:creationId xmlns="" xmlns:a16="http://schemas.microsoft.com/office/drawing/2014/main" id="{0018E1B4-CFB4-4E78-AE10-6E534B618BC6}"/>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14" name="Text Box 116">
          <a:extLst>
            <a:ext uri="{FF2B5EF4-FFF2-40B4-BE49-F238E27FC236}">
              <a16:creationId xmlns="" xmlns:a16="http://schemas.microsoft.com/office/drawing/2014/main" id="{628914F9-F97E-4D0B-8963-3A8DB7A871B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15" name="Text Box 117">
          <a:extLst>
            <a:ext uri="{FF2B5EF4-FFF2-40B4-BE49-F238E27FC236}">
              <a16:creationId xmlns="" xmlns:a16="http://schemas.microsoft.com/office/drawing/2014/main" id="{B8F5CCE7-7553-447E-BDB7-F365226A4183}"/>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16" name="Text Box 118">
          <a:extLst>
            <a:ext uri="{FF2B5EF4-FFF2-40B4-BE49-F238E27FC236}">
              <a16:creationId xmlns="" xmlns:a16="http://schemas.microsoft.com/office/drawing/2014/main" id="{89350352-565B-4AF8-993A-C4A4819F9B9E}"/>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17" name="Text Box 119">
          <a:extLst>
            <a:ext uri="{FF2B5EF4-FFF2-40B4-BE49-F238E27FC236}">
              <a16:creationId xmlns="" xmlns:a16="http://schemas.microsoft.com/office/drawing/2014/main" id="{C37C16F0-70D7-462C-97FC-3818805BE8DF}"/>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18" name="Text Box 120">
          <a:extLst>
            <a:ext uri="{FF2B5EF4-FFF2-40B4-BE49-F238E27FC236}">
              <a16:creationId xmlns="" xmlns:a16="http://schemas.microsoft.com/office/drawing/2014/main" id="{4012098F-8832-4ADE-9A6F-415981BAAA3B}"/>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19" name="Text Box 121">
          <a:extLst>
            <a:ext uri="{FF2B5EF4-FFF2-40B4-BE49-F238E27FC236}">
              <a16:creationId xmlns="" xmlns:a16="http://schemas.microsoft.com/office/drawing/2014/main" id="{D8C4BDF9-0048-4AE5-AD04-985ED0BB5319}"/>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20" name="Text Box 122">
          <a:extLst>
            <a:ext uri="{FF2B5EF4-FFF2-40B4-BE49-F238E27FC236}">
              <a16:creationId xmlns="" xmlns:a16="http://schemas.microsoft.com/office/drawing/2014/main" id="{42BEE258-B6D9-4F7C-A1D5-21CEC1F70D68}"/>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21" name="Text Box 123">
          <a:extLst>
            <a:ext uri="{FF2B5EF4-FFF2-40B4-BE49-F238E27FC236}">
              <a16:creationId xmlns="" xmlns:a16="http://schemas.microsoft.com/office/drawing/2014/main" id="{B81931DB-63CE-4513-9BE1-658B1F7B4A5B}"/>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22" name="Text Box 124">
          <a:extLst>
            <a:ext uri="{FF2B5EF4-FFF2-40B4-BE49-F238E27FC236}">
              <a16:creationId xmlns="" xmlns:a16="http://schemas.microsoft.com/office/drawing/2014/main" id="{B04A1280-7264-4AF5-A63E-013E8BFC9B18}"/>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23" name="Text Box 125">
          <a:extLst>
            <a:ext uri="{FF2B5EF4-FFF2-40B4-BE49-F238E27FC236}">
              <a16:creationId xmlns="" xmlns:a16="http://schemas.microsoft.com/office/drawing/2014/main" id="{C2A1AE35-7EC0-4E9D-AAC0-0CDE83B6B490}"/>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24" name="Text Box 126">
          <a:extLst>
            <a:ext uri="{FF2B5EF4-FFF2-40B4-BE49-F238E27FC236}">
              <a16:creationId xmlns="" xmlns:a16="http://schemas.microsoft.com/office/drawing/2014/main" id="{82D45B7B-1BFD-412D-9DC4-0D8C144B2966}"/>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25" name="Text Box 127">
          <a:extLst>
            <a:ext uri="{FF2B5EF4-FFF2-40B4-BE49-F238E27FC236}">
              <a16:creationId xmlns="" xmlns:a16="http://schemas.microsoft.com/office/drawing/2014/main" id="{69F510E7-4F80-409B-830B-75AE0E1B86D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26" name="Text Box 128">
          <a:extLst>
            <a:ext uri="{FF2B5EF4-FFF2-40B4-BE49-F238E27FC236}">
              <a16:creationId xmlns="" xmlns:a16="http://schemas.microsoft.com/office/drawing/2014/main" id="{1A019415-C4AE-4027-BEFC-1740B6F76A83}"/>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27" name="Text Box 129">
          <a:extLst>
            <a:ext uri="{FF2B5EF4-FFF2-40B4-BE49-F238E27FC236}">
              <a16:creationId xmlns="" xmlns:a16="http://schemas.microsoft.com/office/drawing/2014/main" id="{F2C29567-DBD0-4AF7-80EB-5EF2ED086A9B}"/>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28" name="Text Box 130">
          <a:extLst>
            <a:ext uri="{FF2B5EF4-FFF2-40B4-BE49-F238E27FC236}">
              <a16:creationId xmlns="" xmlns:a16="http://schemas.microsoft.com/office/drawing/2014/main" id="{04702907-C6FA-4B68-8B1D-F66B9B17EB17}"/>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29" name="Text Box 131">
          <a:extLst>
            <a:ext uri="{FF2B5EF4-FFF2-40B4-BE49-F238E27FC236}">
              <a16:creationId xmlns="" xmlns:a16="http://schemas.microsoft.com/office/drawing/2014/main" id="{479ABD6F-4328-4113-9BA0-EA838A6C9FDB}"/>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30" name="Text Box 132">
          <a:extLst>
            <a:ext uri="{FF2B5EF4-FFF2-40B4-BE49-F238E27FC236}">
              <a16:creationId xmlns="" xmlns:a16="http://schemas.microsoft.com/office/drawing/2014/main" id="{B396E686-56E2-4E6B-8577-214D2CEB00E3}"/>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31" name="Text Box 133">
          <a:extLst>
            <a:ext uri="{FF2B5EF4-FFF2-40B4-BE49-F238E27FC236}">
              <a16:creationId xmlns="" xmlns:a16="http://schemas.microsoft.com/office/drawing/2014/main" id="{667E6D10-D05D-4E94-8087-6AA8BEA48E4B}"/>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32" name="Text Box 134">
          <a:extLst>
            <a:ext uri="{FF2B5EF4-FFF2-40B4-BE49-F238E27FC236}">
              <a16:creationId xmlns="" xmlns:a16="http://schemas.microsoft.com/office/drawing/2014/main" id="{6796737C-940F-4F48-B175-B03C15E9D590}"/>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33" name="Text Box 135">
          <a:extLst>
            <a:ext uri="{FF2B5EF4-FFF2-40B4-BE49-F238E27FC236}">
              <a16:creationId xmlns="" xmlns:a16="http://schemas.microsoft.com/office/drawing/2014/main" id="{9E5681EC-B4A3-4404-ACA5-BD234AA6787D}"/>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34" name="Text Box 136">
          <a:extLst>
            <a:ext uri="{FF2B5EF4-FFF2-40B4-BE49-F238E27FC236}">
              <a16:creationId xmlns="" xmlns:a16="http://schemas.microsoft.com/office/drawing/2014/main" id="{16977906-2C5C-48D6-87E3-581C38D04398}"/>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35" name="Text Box 137">
          <a:extLst>
            <a:ext uri="{FF2B5EF4-FFF2-40B4-BE49-F238E27FC236}">
              <a16:creationId xmlns="" xmlns:a16="http://schemas.microsoft.com/office/drawing/2014/main" id="{04E5BAE9-B964-4D05-93A1-620C85E31C9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36" name="Text Box 138">
          <a:extLst>
            <a:ext uri="{FF2B5EF4-FFF2-40B4-BE49-F238E27FC236}">
              <a16:creationId xmlns="" xmlns:a16="http://schemas.microsoft.com/office/drawing/2014/main" id="{AA44289E-0051-4F78-B0F7-1BF16BCB109D}"/>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37" name="Text Box 139">
          <a:extLst>
            <a:ext uri="{FF2B5EF4-FFF2-40B4-BE49-F238E27FC236}">
              <a16:creationId xmlns="" xmlns:a16="http://schemas.microsoft.com/office/drawing/2014/main" id="{F430E145-244F-47D7-AC55-2D633428F05D}"/>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38" name="Text Box 140">
          <a:extLst>
            <a:ext uri="{FF2B5EF4-FFF2-40B4-BE49-F238E27FC236}">
              <a16:creationId xmlns="" xmlns:a16="http://schemas.microsoft.com/office/drawing/2014/main" id="{D4E6048A-2969-4F3B-93FB-16D28365A2C5}"/>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39" name="Text Box 141">
          <a:extLst>
            <a:ext uri="{FF2B5EF4-FFF2-40B4-BE49-F238E27FC236}">
              <a16:creationId xmlns="" xmlns:a16="http://schemas.microsoft.com/office/drawing/2014/main" id="{6CACC85A-1BE6-4101-B11B-DF15C06D1124}"/>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540" name="Text Box 142">
          <a:extLst>
            <a:ext uri="{FF2B5EF4-FFF2-40B4-BE49-F238E27FC236}">
              <a16:creationId xmlns="" xmlns:a16="http://schemas.microsoft.com/office/drawing/2014/main" id="{EC707DE0-F77A-4494-8037-400572CEACA9}"/>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541" name="Text Box 143">
          <a:extLst>
            <a:ext uri="{FF2B5EF4-FFF2-40B4-BE49-F238E27FC236}">
              <a16:creationId xmlns="" xmlns:a16="http://schemas.microsoft.com/office/drawing/2014/main" id="{1E90C5B4-AEA5-4A8F-AA41-B7C029ED0E96}"/>
            </a:ext>
          </a:extLst>
        </xdr:cNvPr>
        <xdr:cNvSpPr txBox="1">
          <a:spLocks noChangeArrowheads="1"/>
        </xdr:cNvSpPr>
      </xdr:nvSpPr>
      <xdr:spPr bwMode="auto">
        <a:xfrm>
          <a:off x="9361714" y="3954018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542" name="Text Box 144">
          <a:extLst>
            <a:ext uri="{FF2B5EF4-FFF2-40B4-BE49-F238E27FC236}">
              <a16:creationId xmlns="" xmlns:a16="http://schemas.microsoft.com/office/drawing/2014/main" id="{E341B6E1-2AA3-4E9E-8BC7-89CE30A16CA7}"/>
            </a:ext>
          </a:extLst>
        </xdr:cNvPr>
        <xdr:cNvSpPr txBox="1">
          <a:spLocks noChangeArrowheads="1"/>
        </xdr:cNvSpPr>
      </xdr:nvSpPr>
      <xdr:spPr bwMode="auto">
        <a:xfrm>
          <a:off x="9361714" y="3954018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1543" name="Text Box 145">
          <a:extLst>
            <a:ext uri="{FF2B5EF4-FFF2-40B4-BE49-F238E27FC236}">
              <a16:creationId xmlns="" xmlns:a16="http://schemas.microsoft.com/office/drawing/2014/main" id="{4C230BBA-4114-467D-AEE0-91B420430042}"/>
            </a:ext>
          </a:extLst>
        </xdr:cNvPr>
        <xdr:cNvSpPr txBox="1">
          <a:spLocks noChangeArrowheads="1"/>
        </xdr:cNvSpPr>
      </xdr:nvSpPr>
      <xdr:spPr bwMode="auto">
        <a:xfrm>
          <a:off x="9361714" y="3954018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1544" name="Text Box 146">
          <a:extLst>
            <a:ext uri="{FF2B5EF4-FFF2-40B4-BE49-F238E27FC236}">
              <a16:creationId xmlns="" xmlns:a16="http://schemas.microsoft.com/office/drawing/2014/main" id="{6E955E48-317E-4754-B4A9-5CADA0E9AC8E}"/>
            </a:ext>
          </a:extLst>
        </xdr:cNvPr>
        <xdr:cNvSpPr txBox="1">
          <a:spLocks noChangeArrowheads="1"/>
        </xdr:cNvSpPr>
      </xdr:nvSpPr>
      <xdr:spPr bwMode="auto">
        <a:xfrm>
          <a:off x="9361714" y="3954018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545" name="Text Box 147">
          <a:extLst>
            <a:ext uri="{FF2B5EF4-FFF2-40B4-BE49-F238E27FC236}">
              <a16:creationId xmlns="" xmlns:a16="http://schemas.microsoft.com/office/drawing/2014/main" id="{8FFEA301-AC9E-4A94-9809-561DF26BAFCB}"/>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546" name="Text Box 148">
          <a:extLst>
            <a:ext uri="{FF2B5EF4-FFF2-40B4-BE49-F238E27FC236}">
              <a16:creationId xmlns="" xmlns:a16="http://schemas.microsoft.com/office/drawing/2014/main" id="{84C00AA7-9756-4DB9-A5B5-A0480DAACD8E}"/>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547" name="Text Box 149">
          <a:extLst>
            <a:ext uri="{FF2B5EF4-FFF2-40B4-BE49-F238E27FC236}">
              <a16:creationId xmlns="" xmlns:a16="http://schemas.microsoft.com/office/drawing/2014/main" id="{FE8A5A72-4366-48F3-9417-81EAA39AB5EB}"/>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548" name="Text Box 150">
          <a:extLst>
            <a:ext uri="{FF2B5EF4-FFF2-40B4-BE49-F238E27FC236}">
              <a16:creationId xmlns="" xmlns:a16="http://schemas.microsoft.com/office/drawing/2014/main" id="{8154CB3B-DE15-421C-B604-0728D88158D5}"/>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49" name="Text Box 151">
          <a:extLst>
            <a:ext uri="{FF2B5EF4-FFF2-40B4-BE49-F238E27FC236}">
              <a16:creationId xmlns="" xmlns:a16="http://schemas.microsoft.com/office/drawing/2014/main" id="{EBAD8A56-8C8E-4654-AADB-4C4BB69CD6A2}"/>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50" name="Text Box 152">
          <a:extLst>
            <a:ext uri="{FF2B5EF4-FFF2-40B4-BE49-F238E27FC236}">
              <a16:creationId xmlns="" xmlns:a16="http://schemas.microsoft.com/office/drawing/2014/main" id="{9195A389-A4BD-45F0-9EF5-1CABC2385A02}"/>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51" name="Text Box 153">
          <a:extLst>
            <a:ext uri="{FF2B5EF4-FFF2-40B4-BE49-F238E27FC236}">
              <a16:creationId xmlns="" xmlns:a16="http://schemas.microsoft.com/office/drawing/2014/main" id="{C3405728-8DCB-406F-BD70-210173364131}"/>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52" name="Text Box 154">
          <a:extLst>
            <a:ext uri="{FF2B5EF4-FFF2-40B4-BE49-F238E27FC236}">
              <a16:creationId xmlns="" xmlns:a16="http://schemas.microsoft.com/office/drawing/2014/main" id="{BB9C7A2F-F4E5-478F-B4CD-4F378E9BB15C}"/>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53" name="Text Box 155">
          <a:extLst>
            <a:ext uri="{FF2B5EF4-FFF2-40B4-BE49-F238E27FC236}">
              <a16:creationId xmlns="" xmlns:a16="http://schemas.microsoft.com/office/drawing/2014/main" id="{4EE94477-FB52-4BC2-A111-AC3AC7A31558}"/>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54" name="Text Box 156">
          <a:extLst>
            <a:ext uri="{FF2B5EF4-FFF2-40B4-BE49-F238E27FC236}">
              <a16:creationId xmlns="" xmlns:a16="http://schemas.microsoft.com/office/drawing/2014/main" id="{2F5F7524-420A-4001-B923-E87ECF40D3C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55" name="Text Box 157">
          <a:extLst>
            <a:ext uri="{FF2B5EF4-FFF2-40B4-BE49-F238E27FC236}">
              <a16:creationId xmlns="" xmlns:a16="http://schemas.microsoft.com/office/drawing/2014/main" id="{5D98BCD7-CD80-4ED8-84EF-54A1EA1EB60E}"/>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556" name="Text Box 158">
          <a:extLst>
            <a:ext uri="{FF2B5EF4-FFF2-40B4-BE49-F238E27FC236}">
              <a16:creationId xmlns="" xmlns:a16="http://schemas.microsoft.com/office/drawing/2014/main" id="{AC65D238-45F9-4506-8A51-069A6BC4F320}"/>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57" name="Text Box 214">
          <a:extLst>
            <a:ext uri="{FF2B5EF4-FFF2-40B4-BE49-F238E27FC236}">
              <a16:creationId xmlns="" xmlns:a16="http://schemas.microsoft.com/office/drawing/2014/main" id="{F0469833-091C-425E-8C1A-4203488B6B26}"/>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558" name="Text Box 215">
          <a:extLst>
            <a:ext uri="{FF2B5EF4-FFF2-40B4-BE49-F238E27FC236}">
              <a16:creationId xmlns="" xmlns:a16="http://schemas.microsoft.com/office/drawing/2014/main" id="{6EF79707-AFB0-47C8-8116-F983BF02D709}"/>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61925"/>
    <xdr:sp macro="" textlink="">
      <xdr:nvSpPr>
        <xdr:cNvPr id="1559" name="Text Box 804">
          <a:extLst>
            <a:ext uri="{FF2B5EF4-FFF2-40B4-BE49-F238E27FC236}">
              <a16:creationId xmlns="" xmlns:a16="http://schemas.microsoft.com/office/drawing/2014/main" id="{11C32F63-D145-4ADF-8FC1-CAAE686AA7C3}"/>
            </a:ext>
          </a:extLst>
        </xdr:cNvPr>
        <xdr:cNvSpPr txBox="1">
          <a:spLocks noChangeArrowheads="1"/>
        </xdr:cNvSpPr>
      </xdr:nvSpPr>
      <xdr:spPr bwMode="auto">
        <a:xfrm>
          <a:off x="9960429" y="395401800"/>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52400"/>
    <xdr:sp macro="" textlink="">
      <xdr:nvSpPr>
        <xdr:cNvPr id="1560" name="Text Box 804">
          <a:extLst>
            <a:ext uri="{FF2B5EF4-FFF2-40B4-BE49-F238E27FC236}">
              <a16:creationId xmlns="" xmlns:a16="http://schemas.microsoft.com/office/drawing/2014/main" id="{A3BE34FA-B5AB-4EBB-83E8-449DB0C44B8E}"/>
            </a:ext>
          </a:extLst>
        </xdr:cNvPr>
        <xdr:cNvSpPr txBox="1">
          <a:spLocks noChangeArrowheads="1"/>
        </xdr:cNvSpPr>
      </xdr:nvSpPr>
      <xdr:spPr bwMode="auto">
        <a:xfrm>
          <a:off x="9960429" y="3954018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52400"/>
    <xdr:sp macro="" textlink="">
      <xdr:nvSpPr>
        <xdr:cNvPr id="1561" name="Text Box 804">
          <a:extLst>
            <a:ext uri="{FF2B5EF4-FFF2-40B4-BE49-F238E27FC236}">
              <a16:creationId xmlns="" xmlns:a16="http://schemas.microsoft.com/office/drawing/2014/main" id="{B7EB522C-B70F-45F8-B9B7-9521BCAC4698}"/>
            </a:ext>
          </a:extLst>
        </xdr:cNvPr>
        <xdr:cNvSpPr txBox="1">
          <a:spLocks noChangeArrowheads="1"/>
        </xdr:cNvSpPr>
      </xdr:nvSpPr>
      <xdr:spPr bwMode="auto">
        <a:xfrm>
          <a:off x="9960429" y="3954018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257175" cy="152400"/>
    <xdr:sp macro="" textlink="">
      <xdr:nvSpPr>
        <xdr:cNvPr id="1562" name="Text Box 804">
          <a:extLst>
            <a:ext uri="{FF2B5EF4-FFF2-40B4-BE49-F238E27FC236}">
              <a16:creationId xmlns="" xmlns:a16="http://schemas.microsoft.com/office/drawing/2014/main" id="{C1DBD649-1AC3-45A8-98A1-3E1760E41C44}"/>
            </a:ext>
          </a:extLst>
        </xdr:cNvPr>
        <xdr:cNvSpPr txBox="1">
          <a:spLocks noChangeArrowheads="1"/>
        </xdr:cNvSpPr>
      </xdr:nvSpPr>
      <xdr:spPr bwMode="auto">
        <a:xfrm>
          <a:off x="9960429" y="3954018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63" name="Text Box 47">
          <a:extLst>
            <a:ext uri="{FF2B5EF4-FFF2-40B4-BE49-F238E27FC236}">
              <a16:creationId xmlns="" xmlns:a16="http://schemas.microsoft.com/office/drawing/2014/main" id="{46035AFF-EA06-4B14-83EA-2E4F1E56D2C4}"/>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64" name="Text Box 48">
          <a:extLst>
            <a:ext uri="{FF2B5EF4-FFF2-40B4-BE49-F238E27FC236}">
              <a16:creationId xmlns="" xmlns:a16="http://schemas.microsoft.com/office/drawing/2014/main" id="{FB8D24BA-550C-4ACD-8D69-F363DDB578E4}"/>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65" name="Text Box 49">
          <a:extLst>
            <a:ext uri="{FF2B5EF4-FFF2-40B4-BE49-F238E27FC236}">
              <a16:creationId xmlns="" xmlns:a16="http://schemas.microsoft.com/office/drawing/2014/main" id="{69732FEF-C634-43B7-8F13-C41A1347E1EC}"/>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66" name="Text Box 50">
          <a:extLst>
            <a:ext uri="{FF2B5EF4-FFF2-40B4-BE49-F238E27FC236}">
              <a16:creationId xmlns="" xmlns:a16="http://schemas.microsoft.com/office/drawing/2014/main" id="{D2BEFD2D-1FDB-4325-941B-14FF849BCF09}"/>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67" name="Text Box 70">
          <a:extLst>
            <a:ext uri="{FF2B5EF4-FFF2-40B4-BE49-F238E27FC236}">
              <a16:creationId xmlns="" xmlns:a16="http://schemas.microsoft.com/office/drawing/2014/main" id="{A2C0D4CE-8452-418D-9EFA-CC6675587B80}"/>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68" name="Text Box 71">
          <a:extLst>
            <a:ext uri="{FF2B5EF4-FFF2-40B4-BE49-F238E27FC236}">
              <a16:creationId xmlns="" xmlns:a16="http://schemas.microsoft.com/office/drawing/2014/main" id="{0FD21E7D-13C6-4997-B664-6B59A760821D}"/>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69" name="Text Box 83">
          <a:extLst>
            <a:ext uri="{FF2B5EF4-FFF2-40B4-BE49-F238E27FC236}">
              <a16:creationId xmlns="" xmlns:a16="http://schemas.microsoft.com/office/drawing/2014/main" id="{1ED899F7-FA13-4C13-B0F2-7F3209471292}"/>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70" name="Text Box 84">
          <a:extLst>
            <a:ext uri="{FF2B5EF4-FFF2-40B4-BE49-F238E27FC236}">
              <a16:creationId xmlns="" xmlns:a16="http://schemas.microsoft.com/office/drawing/2014/main" id="{20E8720C-830D-417A-B799-0EAC133FD3F2}"/>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71" name="Text Box 85">
          <a:extLst>
            <a:ext uri="{FF2B5EF4-FFF2-40B4-BE49-F238E27FC236}">
              <a16:creationId xmlns="" xmlns:a16="http://schemas.microsoft.com/office/drawing/2014/main" id="{75662200-0ECC-4A0A-8B6F-FFA86B91C33F}"/>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72" name="Text Box 86">
          <a:extLst>
            <a:ext uri="{FF2B5EF4-FFF2-40B4-BE49-F238E27FC236}">
              <a16:creationId xmlns="" xmlns:a16="http://schemas.microsoft.com/office/drawing/2014/main" id="{62DA6414-D8FA-46F9-AB3A-07D75EDF470B}"/>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73" name="Text Box 93">
          <a:extLst>
            <a:ext uri="{FF2B5EF4-FFF2-40B4-BE49-F238E27FC236}">
              <a16:creationId xmlns="" xmlns:a16="http://schemas.microsoft.com/office/drawing/2014/main" id="{37619692-8C55-4733-9BB2-A27B62430AE3}"/>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574" name="Text Box 94">
          <a:extLst>
            <a:ext uri="{FF2B5EF4-FFF2-40B4-BE49-F238E27FC236}">
              <a16:creationId xmlns="" xmlns:a16="http://schemas.microsoft.com/office/drawing/2014/main" id="{C3A6CC3A-AEB7-4E9B-9C29-8686E457EF31}"/>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61925"/>
    <xdr:sp macro="" textlink="">
      <xdr:nvSpPr>
        <xdr:cNvPr id="1575" name="Text Box 804">
          <a:extLst>
            <a:ext uri="{FF2B5EF4-FFF2-40B4-BE49-F238E27FC236}">
              <a16:creationId xmlns="" xmlns:a16="http://schemas.microsoft.com/office/drawing/2014/main" id="{9966F68D-68E3-44E9-A7E7-DFE9B1E149EB}"/>
            </a:ext>
          </a:extLst>
        </xdr:cNvPr>
        <xdr:cNvSpPr txBox="1">
          <a:spLocks noChangeArrowheads="1"/>
        </xdr:cNvSpPr>
      </xdr:nvSpPr>
      <xdr:spPr bwMode="auto">
        <a:xfrm>
          <a:off x="11299371" y="395401800"/>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52400"/>
    <xdr:sp macro="" textlink="">
      <xdr:nvSpPr>
        <xdr:cNvPr id="1576" name="Text Box 804">
          <a:extLst>
            <a:ext uri="{FF2B5EF4-FFF2-40B4-BE49-F238E27FC236}">
              <a16:creationId xmlns="" xmlns:a16="http://schemas.microsoft.com/office/drawing/2014/main" id="{89F079B6-7DD0-4ABB-B476-A95F7C38A116}"/>
            </a:ext>
          </a:extLst>
        </xdr:cNvPr>
        <xdr:cNvSpPr txBox="1">
          <a:spLocks noChangeArrowheads="1"/>
        </xdr:cNvSpPr>
      </xdr:nvSpPr>
      <xdr:spPr bwMode="auto">
        <a:xfrm>
          <a:off x="11299371" y="3954018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77" name="Text Box 43">
          <a:extLst>
            <a:ext uri="{FF2B5EF4-FFF2-40B4-BE49-F238E27FC236}">
              <a16:creationId xmlns="" xmlns:a16="http://schemas.microsoft.com/office/drawing/2014/main" id="{6DCD64EB-F01A-47C1-B2C6-DC4998984231}"/>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78" name="Text Box 45">
          <a:extLst>
            <a:ext uri="{FF2B5EF4-FFF2-40B4-BE49-F238E27FC236}">
              <a16:creationId xmlns="" xmlns:a16="http://schemas.microsoft.com/office/drawing/2014/main" id="{1F76AC05-5EFE-419F-BA5C-DFF7DF0C7B51}"/>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79" name="Text Box 64">
          <a:extLst>
            <a:ext uri="{FF2B5EF4-FFF2-40B4-BE49-F238E27FC236}">
              <a16:creationId xmlns="" xmlns:a16="http://schemas.microsoft.com/office/drawing/2014/main" id="{1F74F5A4-329D-4EC5-866E-88DC3B50D9EA}"/>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80" name="Text Box 65">
          <a:extLst>
            <a:ext uri="{FF2B5EF4-FFF2-40B4-BE49-F238E27FC236}">
              <a16:creationId xmlns="" xmlns:a16="http://schemas.microsoft.com/office/drawing/2014/main" id="{B6195922-0C0A-4B2F-BAF8-4BFD3646445A}"/>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81" name="Text Box 66">
          <a:extLst>
            <a:ext uri="{FF2B5EF4-FFF2-40B4-BE49-F238E27FC236}">
              <a16:creationId xmlns="" xmlns:a16="http://schemas.microsoft.com/office/drawing/2014/main" id="{1443C2B4-9591-4914-9809-ADEA4E592E37}"/>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82" name="Text Box 67">
          <a:extLst>
            <a:ext uri="{FF2B5EF4-FFF2-40B4-BE49-F238E27FC236}">
              <a16:creationId xmlns="" xmlns:a16="http://schemas.microsoft.com/office/drawing/2014/main" id="{5094E2A5-4052-4521-9AF6-68D8397410BB}"/>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83" name="Text Box 81">
          <a:extLst>
            <a:ext uri="{FF2B5EF4-FFF2-40B4-BE49-F238E27FC236}">
              <a16:creationId xmlns="" xmlns:a16="http://schemas.microsoft.com/office/drawing/2014/main" id="{EBABB2D6-FC06-49CE-9E68-4496CD26BBA9}"/>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84" name="Text Box 82">
          <a:extLst>
            <a:ext uri="{FF2B5EF4-FFF2-40B4-BE49-F238E27FC236}">
              <a16:creationId xmlns="" xmlns:a16="http://schemas.microsoft.com/office/drawing/2014/main" id="{474D3B48-E7D8-4BD5-A7F3-4CD1A4C50753}"/>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85" name="Text Box 87">
          <a:extLst>
            <a:ext uri="{FF2B5EF4-FFF2-40B4-BE49-F238E27FC236}">
              <a16:creationId xmlns="" xmlns:a16="http://schemas.microsoft.com/office/drawing/2014/main" id="{F5CC98C5-185E-4A5E-931D-91BEC2FD8B16}"/>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86" name="Text Box 88">
          <a:extLst>
            <a:ext uri="{FF2B5EF4-FFF2-40B4-BE49-F238E27FC236}">
              <a16:creationId xmlns="" xmlns:a16="http://schemas.microsoft.com/office/drawing/2014/main" id="{BACC0323-239A-4F62-B701-0211E8E3F2EC}"/>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87" name="Text Box 89">
          <a:extLst>
            <a:ext uri="{FF2B5EF4-FFF2-40B4-BE49-F238E27FC236}">
              <a16:creationId xmlns="" xmlns:a16="http://schemas.microsoft.com/office/drawing/2014/main" id="{1934799B-2E47-4DD2-A14D-549553A2302E}"/>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588" name="Text Box 90">
          <a:extLst>
            <a:ext uri="{FF2B5EF4-FFF2-40B4-BE49-F238E27FC236}">
              <a16:creationId xmlns="" xmlns:a16="http://schemas.microsoft.com/office/drawing/2014/main" id="{5AD0B939-AA8B-458B-BF25-C7BEC64817B7}"/>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1589" name="Text Box 68">
          <a:extLst>
            <a:ext uri="{FF2B5EF4-FFF2-40B4-BE49-F238E27FC236}">
              <a16:creationId xmlns="" xmlns:a16="http://schemas.microsoft.com/office/drawing/2014/main" id="{D7B9B02D-2867-45EE-B458-7665ECE5E8A9}"/>
            </a:ext>
          </a:extLst>
        </xdr:cNvPr>
        <xdr:cNvSpPr txBox="1">
          <a:spLocks noChangeArrowheads="1"/>
        </xdr:cNvSpPr>
      </xdr:nvSpPr>
      <xdr:spPr bwMode="auto">
        <a:xfrm>
          <a:off x="2677886"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1590" name="Text Box 69">
          <a:extLst>
            <a:ext uri="{FF2B5EF4-FFF2-40B4-BE49-F238E27FC236}">
              <a16:creationId xmlns="" xmlns:a16="http://schemas.microsoft.com/office/drawing/2014/main" id="{DDB6D275-FF7F-4753-A45A-D43DEF7473E5}"/>
            </a:ext>
          </a:extLst>
        </xdr:cNvPr>
        <xdr:cNvSpPr txBox="1">
          <a:spLocks noChangeArrowheads="1"/>
        </xdr:cNvSpPr>
      </xdr:nvSpPr>
      <xdr:spPr bwMode="auto">
        <a:xfrm>
          <a:off x="2677886"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1591" name="Text Box 91">
          <a:extLst>
            <a:ext uri="{FF2B5EF4-FFF2-40B4-BE49-F238E27FC236}">
              <a16:creationId xmlns="" xmlns:a16="http://schemas.microsoft.com/office/drawing/2014/main" id="{591EAFA6-01B9-402A-9978-982598240426}"/>
            </a:ext>
          </a:extLst>
        </xdr:cNvPr>
        <xdr:cNvSpPr txBox="1">
          <a:spLocks noChangeArrowheads="1"/>
        </xdr:cNvSpPr>
      </xdr:nvSpPr>
      <xdr:spPr bwMode="auto">
        <a:xfrm>
          <a:off x="2677886"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1592" name="Text Box 92">
          <a:extLst>
            <a:ext uri="{FF2B5EF4-FFF2-40B4-BE49-F238E27FC236}">
              <a16:creationId xmlns="" xmlns:a16="http://schemas.microsoft.com/office/drawing/2014/main" id="{3CF13F1C-0BEB-4677-9603-DD514F1A65DB}"/>
            </a:ext>
          </a:extLst>
        </xdr:cNvPr>
        <xdr:cNvSpPr txBox="1">
          <a:spLocks noChangeArrowheads="1"/>
        </xdr:cNvSpPr>
      </xdr:nvSpPr>
      <xdr:spPr bwMode="auto">
        <a:xfrm>
          <a:off x="2677886"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732"/>
    <xdr:sp macro="" textlink="">
      <xdr:nvSpPr>
        <xdr:cNvPr id="1593" name="Text Box 67">
          <a:extLst>
            <a:ext uri="{FF2B5EF4-FFF2-40B4-BE49-F238E27FC236}">
              <a16:creationId xmlns="" xmlns:a16="http://schemas.microsoft.com/office/drawing/2014/main" id="{04E7980A-F80F-421E-B5EB-4868578EF086}"/>
            </a:ext>
          </a:extLst>
        </xdr:cNvPr>
        <xdr:cNvSpPr txBox="1">
          <a:spLocks noChangeArrowheads="1"/>
        </xdr:cNvSpPr>
      </xdr:nvSpPr>
      <xdr:spPr bwMode="auto">
        <a:xfrm>
          <a:off x="9361714" y="3954018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732"/>
    <xdr:sp macro="" textlink="">
      <xdr:nvSpPr>
        <xdr:cNvPr id="1594" name="Text Box 68">
          <a:extLst>
            <a:ext uri="{FF2B5EF4-FFF2-40B4-BE49-F238E27FC236}">
              <a16:creationId xmlns="" xmlns:a16="http://schemas.microsoft.com/office/drawing/2014/main" id="{B1EB38E6-AE42-407F-8D7E-8B35A3959E5C}"/>
            </a:ext>
          </a:extLst>
        </xdr:cNvPr>
        <xdr:cNvSpPr txBox="1">
          <a:spLocks noChangeArrowheads="1"/>
        </xdr:cNvSpPr>
      </xdr:nvSpPr>
      <xdr:spPr bwMode="auto">
        <a:xfrm>
          <a:off x="9361714" y="3954018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732"/>
    <xdr:sp macro="" textlink="">
      <xdr:nvSpPr>
        <xdr:cNvPr id="1595" name="Text Box 145">
          <a:extLst>
            <a:ext uri="{FF2B5EF4-FFF2-40B4-BE49-F238E27FC236}">
              <a16:creationId xmlns="" xmlns:a16="http://schemas.microsoft.com/office/drawing/2014/main" id="{B656EEBF-1471-40A9-A602-DB250C42E07C}"/>
            </a:ext>
          </a:extLst>
        </xdr:cNvPr>
        <xdr:cNvSpPr txBox="1">
          <a:spLocks noChangeArrowheads="1"/>
        </xdr:cNvSpPr>
      </xdr:nvSpPr>
      <xdr:spPr bwMode="auto">
        <a:xfrm>
          <a:off x="9361714" y="3954018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51732"/>
    <xdr:sp macro="" textlink="">
      <xdr:nvSpPr>
        <xdr:cNvPr id="1596" name="Text Box 146">
          <a:extLst>
            <a:ext uri="{FF2B5EF4-FFF2-40B4-BE49-F238E27FC236}">
              <a16:creationId xmlns="" xmlns:a16="http://schemas.microsoft.com/office/drawing/2014/main" id="{A7332CBD-7F80-423D-8A47-B35C692F7B68}"/>
            </a:ext>
          </a:extLst>
        </xdr:cNvPr>
        <xdr:cNvSpPr txBox="1">
          <a:spLocks noChangeArrowheads="1"/>
        </xdr:cNvSpPr>
      </xdr:nvSpPr>
      <xdr:spPr bwMode="auto">
        <a:xfrm>
          <a:off x="9361714" y="39540180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597" name="Text Box 43">
          <a:extLst>
            <a:ext uri="{FF2B5EF4-FFF2-40B4-BE49-F238E27FC236}">
              <a16:creationId xmlns="" xmlns:a16="http://schemas.microsoft.com/office/drawing/2014/main" id="{6059DB26-8116-491F-88C5-C97F63FEBEB9}"/>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598" name="Text Box 45">
          <a:extLst>
            <a:ext uri="{FF2B5EF4-FFF2-40B4-BE49-F238E27FC236}">
              <a16:creationId xmlns="" xmlns:a16="http://schemas.microsoft.com/office/drawing/2014/main" id="{AA6F2F31-CB78-452D-B3B1-04918770A215}"/>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599" name="Text Box 47">
          <a:extLst>
            <a:ext uri="{FF2B5EF4-FFF2-40B4-BE49-F238E27FC236}">
              <a16:creationId xmlns="" xmlns:a16="http://schemas.microsoft.com/office/drawing/2014/main" id="{CE9E6610-C935-4F24-8FF1-871449CEF69B}"/>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00" name="Text Box 48">
          <a:extLst>
            <a:ext uri="{FF2B5EF4-FFF2-40B4-BE49-F238E27FC236}">
              <a16:creationId xmlns="" xmlns:a16="http://schemas.microsoft.com/office/drawing/2014/main" id="{5A003AA0-BA31-4594-B80B-14F916397731}"/>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01" name="Text Box 49">
          <a:extLst>
            <a:ext uri="{FF2B5EF4-FFF2-40B4-BE49-F238E27FC236}">
              <a16:creationId xmlns="" xmlns:a16="http://schemas.microsoft.com/office/drawing/2014/main" id="{218140A0-2181-4F38-92E2-AF4929070D1B}"/>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02" name="Text Box 50">
          <a:extLst>
            <a:ext uri="{FF2B5EF4-FFF2-40B4-BE49-F238E27FC236}">
              <a16:creationId xmlns="" xmlns:a16="http://schemas.microsoft.com/office/drawing/2014/main" id="{E6A61FF2-5957-41A5-A1D6-8CB838C80359}"/>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03" name="Text Box 64">
          <a:extLst>
            <a:ext uri="{FF2B5EF4-FFF2-40B4-BE49-F238E27FC236}">
              <a16:creationId xmlns="" xmlns:a16="http://schemas.microsoft.com/office/drawing/2014/main" id="{216808A5-7E9C-4805-97CF-CB8F219AC46B}"/>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04" name="Text Box 65">
          <a:extLst>
            <a:ext uri="{FF2B5EF4-FFF2-40B4-BE49-F238E27FC236}">
              <a16:creationId xmlns="" xmlns:a16="http://schemas.microsoft.com/office/drawing/2014/main" id="{268CB610-AE36-4F47-9F75-D7A41B52C7C6}"/>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05" name="Text Box 66">
          <a:extLst>
            <a:ext uri="{FF2B5EF4-FFF2-40B4-BE49-F238E27FC236}">
              <a16:creationId xmlns="" xmlns:a16="http://schemas.microsoft.com/office/drawing/2014/main" id="{8F240808-46BD-404B-A8FF-AA6E665AAD2E}"/>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06" name="Text Box 67">
          <a:extLst>
            <a:ext uri="{FF2B5EF4-FFF2-40B4-BE49-F238E27FC236}">
              <a16:creationId xmlns="" xmlns:a16="http://schemas.microsoft.com/office/drawing/2014/main" id="{5AF6AC74-9C7D-4AE6-9C35-9B5F9FAAE8F6}"/>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607" name="Text Box 68">
          <a:extLst>
            <a:ext uri="{FF2B5EF4-FFF2-40B4-BE49-F238E27FC236}">
              <a16:creationId xmlns="" xmlns:a16="http://schemas.microsoft.com/office/drawing/2014/main" id="{849D6680-FD9D-4E67-9EDE-BD9084200601}"/>
            </a:ext>
          </a:extLst>
        </xdr:cNvPr>
        <xdr:cNvSpPr txBox="1">
          <a:spLocks noChangeArrowheads="1"/>
        </xdr:cNvSpPr>
      </xdr:nvSpPr>
      <xdr:spPr bwMode="auto">
        <a:xfrm>
          <a:off x="9960429"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608" name="Text Box 69">
          <a:extLst>
            <a:ext uri="{FF2B5EF4-FFF2-40B4-BE49-F238E27FC236}">
              <a16:creationId xmlns="" xmlns:a16="http://schemas.microsoft.com/office/drawing/2014/main" id="{FC2C31CF-CFDB-474B-B486-01B188799EAF}"/>
            </a:ext>
          </a:extLst>
        </xdr:cNvPr>
        <xdr:cNvSpPr txBox="1">
          <a:spLocks noChangeArrowheads="1"/>
        </xdr:cNvSpPr>
      </xdr:nvSpPr>
      <xdr:spPr bwMode="auto">
        <a:xfrm>
          <a:off x="9960429"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09" name="Text Box 70">
          <a:extLst>
            <a:ext uri="{FF2B5EF4-FFF2-40B4-BE49-F238E27FC236}">
              <a16:creationId xmlns="" xmlns:a16="http://schemas.microsoft.com/office/drawing/2014/main" id="{93820187-E380-474F-8461-4BE94B91A261}"/>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10" name="Text Box 71">
          <a:extLst>
            <a:ext uri="{FF2B5EF4-FFF2-40B4-BE49-F238E27FC236}">
              <a16:creationId xmlns="" xmlns:a16="http://schemas.microsoft.com/office/drawing/2014/main" id="{114D333A-DDF6-4BE1-8134-569B67C7AC80}"/>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11" name="Text Box 72">
          <a:extLst>
            <a:ext uri="{FF2B5EF4-FFF2-40B4-BE49-F238E27FC236}">
              <a16:creationId xmlns="" xmlns:a16="http://schemas.microsoft.com/office/drawing/2014/main" id="{74BFA00A-2AFB-4BDA-9DAC-1DB07B41B2BE}"/>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12" name="Text Box 73">
          <a:extLst>
            <a:ext uri="{FF2B5EF4-FFF2-40B4-BE49-F238E27FC236}">
              <a16:creationId xmlns="" xmlns:a16="http://schemas.microsoft.com/office/drawing/2014/main" id="{EA6B4CCC-8F9E-4480-B2CE-16EED2EC8F1C}"/>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1613" name="Text Box 19">
          <a:extLst>
            <a:ext uri="{FF2B5EF4-FFF2-40B4-BE49-F238E27FC236}">
              <a16:creationId xmlns="" xmlns:a16="http://schemas.microsoft.com/office/drawing/2014/main" id="{1A19500E-907A-4ED3-8BBB-DEF215CABC97}"/>
            </a:ext>
          </a:extLst>
        </xdr:cNvPr>
        <xdr:cNvSpPr txBox="1">
          <a:spLocks noChangeArrowheads="1"/>
        </xdr:cNvSpPr>
      </xdr:nvSpPr>
      <xdr:spPr bwMode="auto">
        <a:xfrm>
          <a:off x="9361714" y="3954018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1614" name="Text Box 20">
          <a:extLst>
            <a:ext uri="{FF2B5EF4-FFF2-40B4-BE49-F238E27FC236}">
              <a16:creationId xmlns="" xmlns:a16="http://schemas.microsoft.com/office/drawing/2014/main" id="{818251B5-C9E4-4B8F-BB45-A54F8F6D0293}"/>
            </a:ext>
          </a:extLst>
        </xdr:cNvPr>
        <xdr:cNvSpPr txBox="1">
          <a:spLocks noChangeArrowheads="1"/>
        </xdr:cNvSpPr>
      </xdr:nvSpPr>
      <xdr:spPr bwMode="auto">
        <a:xfrm>
          <a:off x="9361714" y="3954018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15" name="Text Box 21">
          <a:extLst>
            <a:ext uri="{FF2B5EF4-FFF2-40B4-BE49-F238E27FC236}">
              <a16:creationId xmlns="" xmlns:a16="http://schemas.microsoft.com/office/drawing/2014/main" id="{555CCC57-8EB1-4460-8DBD-635007B59704}"/>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16" name="Text Box 22">
          <a:extLst>
            <a:ext uri="{FF2B5EF4-FFF2-40B4-BE49-F238E27FC236}">
              <a16:creationId xmlns="" xmlns:a16="http://schemas.microsoft.com/office/drawing/2014/main" id="{3EC8AB25-77BA-4576-A900-6A5E1E93E7C5}"/>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17" name="Text Box 23">
          <a:extLst>
            <a:ext uri="{FF2B5EF4-FFF2-40B4-BE49-F238E27FC236}">
              <a16:creationId xmlns="" xmlns:a16="http://schemas.microsoft.com/office/drawing/2014/main" id="{98D09824-E0E5-4B14-8CB4-AD32408CBAEB}"/>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18" name="Text Box 24">
          <a:extLst>
            <a:ext uri="{FF2B5EF4-FFF2-40B4-BE49-F238E27FC236}">
              <a16:creationId xmlns="" xmlns:a16="http://schemas.microsoft.com/office/drawing/2014/main" id="{22D76F94-064A-416B-9B2F-7092FB025C3D}"/>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19" name="Text Box 25">
          <a:extLst>
            <a:ext uri="{FF2B5EF4-FFF2-40B4-BE49-F238E27FC236}">
              <a16:creationId xmlns="" xmlns:a16="http://schemas.microsoft.com/office/drawing/2014/main" id="{BC678323-3836-4B95-9352-AB28A14023F5}"/>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20" name="Text Box 26">
          <a:extLst>
            <a:ext uri="{FF2B5EF4-FFF2-40B4-BE49-F238E27FC236}">
              <a16:creationId xmlns="" xmlns:a16="http://schemas.microsoft.com/office/drawing/2014/main" id="{6E0184C6-ED1D-436B-81D0-9423AD92C2B8}"/>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21" name="Text Box 27">
          <a:extLst>
            <a:ext uri="{FF2B5EF4-FFF2-40B4-BE49-F238E27FC236}">
              <a16:creationId xmlns="" xmlns:a16="http://schemas.microsoft.com/office/drawing/2014/main" id="{F9F91B5B-2C82-4E5A-9F09-7C005A765534}"/>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22" name="Text Box 28">
          <a:extLst>
            <a:ext uri="{FF2B5EF4-FFF2-40B4-BE49-F238E27FC236}">
              <a16:creationId xmlns="" xmlns:a16="http://schemas.microsoft.com/office/drawing/2014/main" id="{4B76A663-331F-438D-BF5D-446CFD03D46A}"/>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23" name="Text Box 29">
          <a:extLst>
            <a:ext uri="{FF2B5EF4-FFF2-40B4-BE49-F238E27FC236}">
              <a16:creationId xmlns="" xmlns:a16="http://schemas.microsoft.com/office/drawing/2014/main" id="{F4CD4862-8241-45E0-8404-1A5D1078D154}"/>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24" name="Text Box 30">
          <a:extLst>
            <a:ext uri="{FF2B5EF4-FFF2-40B4-BE49-F238E27FC236}">
              <a16:creationId xmlns="" xmlns:a16="http://schemas.microsoft.com/office/drawing/2014/main" id="{D1BCF93A-385C-4265-A7AC-66E0D31D3409}"/>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25" name="Text Box 31">
          <a:extLst>
            <a:ext uri="{FF2B5EF4-FFF2-40B4-BE49-F238E27FC236}">
              <a16:creationId xmlns="" xmlns:a16="http://schemas.microsoft.com/office/drawing/2014/main" id="{1DCA482E-74CA-43DC-87A9-6E3C1FB1ED19}"/>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26" name="Text Box 32">
          <a:extLst>
            <a:ext uri="{FF2B5EF4-FFF2-40B4-BE49-F238E27FC236}">
              <a16:creationId xmlns="" xmlns:a16="http://schemas.microsoft.com/office/drawing/2014/main" id="{FEF3136D-0FC3-44D6-A544-FD42CFD9A11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27" name="Text Box 33">
          <a:extLst>
            <a:ext uri="{FF2B5EF4-FFF2-40B4-BE49-F238E27FC236}">
              <a16:creationId xmlns="" xmlns:a16="http://schemas.microsoft.com/office/drawing/2014/main" id="{BD81098B-6F25-47F9-BA1E-A71C1B0F4F32}"/>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28" name="Text Box 34">
          <a:extLst>
            <a:ext uri="{FF2B5EF4-FFF2-40B4-BE49-F238E27FC236}">
              <a16:creationId xmlns="" xmlns:a16="http://schemas.microsoft.com/office/drawing/2014/main" id="{18431107-A85A-4D74-B646-E8AD08B2F723}"/>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1629" name="Text Box 35">
          <a:extLst>
            <a:ext uri="{FF2B5EF4-FFF2-40B4-BE49-F238E27FC236}">
              <a16:creationId xmlns="" xmlns:a16="http://schemas.microsoft.com/office/drawing/2014/main" id="{1B419D27-C399-4814-A87A-3A6D5FC412AA}"/>
            </a:ext>
          </a:extLst>
        </xdr:cNvPr>
        <xdr:cNvSpPr txBox="1">
          <a:spLocks noChangeArrowheads="1"/>
        </xdr:cNvSpPr>
      </xdr:nvSpPr>
      <xdr:spPr bwMode="auto">
        <a:xfrm>
          <a:off x="9361714"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1630" name="Text Box 36">
          <a:extLst>
            <a:ext uri="{FF2B5EF4-FFF2-40B4-BE49-F238E27FC236}">
              <a16:creationId xmlns="" xmlns:a16="http://schemas.microsoft.com/office/drawing/2014/main" id="{D0AA3078-1AFE-4491-8210-4DD272EBE093}"/>
            </a:ext>
          </a:extLst>
        </xdr:cNvPr>
        <xdr:cNvSpPr txBox="1">
          <a:spLocks noChangeArrowheads="1"/>
        </xdr:cNvSpPr>
      </xdr:nvSpPr>
      <xdr:spPr bwMode="auto">
        <a:xfrm>
          <a:off x="9361714"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31" name="Text Box 37">
          <a:extLst>
            <a:ext uri="{FF2B5EF4-FFF2-40B4-BE49-F238E27FC236}">
              <a16:creationId xmlns="" xmlns:a16="http://schemas.microsoft.com/office/drawing/2014/main" id="{8B1F358E-B763-4789-84E5-DF57D3F1A7F2}"/>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32" name="Text Box 38">
          <a:extLst>
            <a:ext uri="{FF2B5EF4-FFF2-40B4-BE49-F238E27FC236}">
              <a16:creationId xmlns="" xmlns:a16="http://schemas.microsoft.com/office/drawing/2014/main" id="{094AE929-2604-4F14-8498-3FD046746C9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33" name="Text Box 39">
          <a:extLst>
            <a:ext uri="{FF2B5EF4-FFF2-40B4-BE49-F238E27FC236}">
              <a16:creationId xmlns="" xmlns:a16="http://schemas.microsoft.com/office/drawing/2014/main" id="{D7782B9D-F1A5-4EA5-BD6F-003E41DDB709}"/>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34" name="Text Box 40">
          <a:extLst>
            <a:ext uri="{FF2B5EF4-FFF2-40B4-BE49-F238E27FC236}">
              <a16:creationId xmlns="" xmlns:a16="http://schemas.microsoft.com/office/drawing/2014/main" id="{E855EDC7-E2A5-449D-992F-1C7871DD8109}"/>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35" name="Text Box 41">
          <a:extLst>
            <a:ext uri="{FF2B5EF4-FFF2-40B4-BE49-F238E27FC236}">
              <a16:creationId xmlns="" xmlns:a16="http://schemas.microsoft.com/office/drawing/2014/main" id="{288FFCCE-5D77-4F88-B0F0-AD184D606883}"/>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36" name="Text Box 42">
          <a:extLst>
            <a:ext uri="{FF2B5EF4-FFF2-40B4-BE49-F238E27FC236}">
              <a16:creationId xmlns="" xmlns:a16="http://schemas.microsoft.com/office/drawing/2014/main" id="{CD576D69-AD5D-4B37-9DE5-4557F2ACA117}"/>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37" name="Text Box 43">
          <a:extLst>
            <a:ext uri="{FF2B5EF4-FFF2-40B4-BE49-F238E27FC236}">
              <a16:creationId xmlns="" xmlns:a16="http://schemas.microsoft.com/office/drawing/2014/main" id="{5446F956-2692-4223-9B49-E9C859AA52AB}"/>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38" name="Text Box 44">
          <a:extLst>
            <a:ext uri="{FF2B5EF4-FFF2-40B4-BE49-F238E27FC236}">
              <a16:creationId xmlns="" xmlns:a16="http://schemas.microsoft.com/office/drawing/2014/main" id="{5A03CD9A-3EC9-4C2F-8C50-6BD6FE09C1E1}"/>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39" name="Text Box 45">
          <a:extLst>
            <a:ext uri="{FF2B5EF4-FFF2-40B4-BE49-F238E27FC236}">
              <a16:creationId xmlns="" xmlns:a16="http://schemas.microsoft.com/office/drawing/2014/main" id="{9225A850-E0BB-45CD-889E-22F467A8688E}"/>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40" name="Text Box 46">
          <a:extLst>
            <a:ext uri="{FF2B5EF4-FFF2-40B4-BE49-F238E27FC236}">
              <a16:creationId xmlns="" xmlns:a16="http://schemas.microsoft.com/office/drawing/2014/main" id="{C0F1B851-2A6A-4956-984E-62C693EFDB7C}"/>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41" name="Text Box 47">
          <a:extLst>
            <a:ext uri="{FF2B5EF4-FFF2-40B4-BE49-F238E27FC236}">
              <a16:creationId xmlns="" xmlns:a16="http://schemas.microsoft.com/office/drawing/2014/main" id="{12337068-938B-4E42-A32B-9CC0E5282813}"/>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42" name="Text Box 48">
          <a:extLst>
            <a:ext uri="{FF2B5EF4-FFF2-40B4-BE49-F238E27FC236}">
              <a16:creationId xmlns="" xmlns:a16="http://schemas.microsoft.com/office/drawing/2014/main" id="{7CBD994E-C1DC-43D4-8644-3CDBAB83E296}"/>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43" name="Text Box 49">
          <a:extLst>
            <a:ext uri="{FF2B5EF4-FFF2-40B4-BE49-F238E27FC236}">
              <a16:creationId xmlns="" xmlns:a16="http://schemas.microsoft.com/office/drawing/2014/main" id="{B1938BC4-1822-4402-97CC-7B3A76496CA0}"/>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44" name="Text Box 50">
          <a:extLst>
            <a:ext uri="{FF2B5EF4-FFF2-40B4-BE49-F238E27FC236}">
              <a16:creationId xmlns="" xmlns:a16="http://schemas.microsoft.com/office/drawing/2014/main" id="{4644E4A7-B4FA-4DAB-8AA5-A33A0E5630AB}"/>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645" name="Text Box 51">
          <a:extLst>
            <a:ext uri="{FF2B5EF4-FFF2-40B4-BE49-F238E27FC236}">
              <a16:creationId xmlns="" xmlns:a16="http://schemas.microsoft.com/office/drawing/2014/main" id="{339E0CC3-7972-4F49-B2B1-D5E7A6F70CA9}"/>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646" name="Text Box 52">
          <a:extLst>
            <a:ext uri="{FF2B5EF4-FFF2-40B4-BE49-F238E27FC236}">
              <a16:creationId xmlns="" xmlns:a16="http://schemas.microsoft.com/office/drawing/2014/main" id="{642FCFD0-F890-4BB1-8BA7-5485DF8E6BAE}"/>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647" name="Text Box 53">
          <a:extLst>
            <a:ext uri="{FF2B5EF4-FFF2-40B4-BE49-F238E27FC236}">
              <a16:creationId xmlns="" xmlns:a16="http://schemas.microsoft.com/office/drawing/2014/main" id="{9E0F9F19-4B4E-458D-B471-1F66BAAFD0A9}"/>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648" name="Text Box 54">
          <a:extLst>
            <a:ext uri="{FF2B5EF4-FFF2-40B4-BE49-F238E27FC236}">
              <a16:creationId xmlns="" xmlns:a16="http://schemas.microsoft.com/office/drawing/2014/main" id="{659EC44C-653E-4C19-8AF5-2AEB341AD252}"/>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49" name="Text Box 55">
          <a:extLst>
            <a:ext uri="{FF2B5EF4-FFF2-40B4-BE49-F238E27FC236}">
              <a16:creationId xmlns="" xmlns:a16="http://schemas.microsoft.com/office/drawing/2014/main" id="{69F6D4B5-3573-42EF-B660-9F4CE176955F}"/>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50" name="Text Box 56">
          <a:extLst>
            <a:ext uri="{FF2B5EF4-FFF2-40B4-BE49-F238E27FC236}">
              <a16:creationId xmlns="" xmlns:a16="http://schemas.microsoft.com/office/drawing/2014/main" id="{5DE93BCD-BA64-42C6-8A61-DF19C62FF34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651" name="Text Box 57">
          <a:extLst>
            <a:ext uri="{FF2B5EF4-FFF2-40B4-BE49-F238E27FC236}">
              <a16:creationId xmlns="" xmlns:a16="http://schemas.microsoft.com/office/drawing/2014/main" id="{2819D810-81B5-4CF7-8BAC-68A0563E1096}"/>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652" name="Text Box 58">
          <a:extLst>
            <a:ext uri="{FF2B5EF4-FFF2-40B4-BE49-F238E27FC236}">
              <a16:creationId xmlns="" xmlns:a16="http://schemas.microsoft.com/office/drawing/2014/main" id="{65BC9CE2-1CFA-450B-813F-9573C45DDA97}"/>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53" name="Text Box 59">
          <a:extLst>
            <a:ext uri="{FF2B5EF4-FFF2-40B4-BE49-F238E27FC236}">
              <a16:creationId xmlns="" xmlns:a16="http://schemas.microsoft.com/office/drawing/2014/main" id="{421220C1-2AB8-48D6-A1D6-A1BCCD5B4A44}"/>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54" name="Text Box 60">
          <a:extLst>
            <a:ext uri="{FF2B5EF4-FFF2-40B4-BE49-F238E27FC236}">
              <a16:creationId xmlns="" xmlns:a16="http://schemas.microsoft.com/office/drawing/2014/main" id="{EA1B8FEA-35DC-4956-AA36-54827B9404B6}"/>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55" name="Text Box 61">
          <a:extLst>
            <a:ext uri="{FF2B5EF4-FFF2-40B4-BE49-F238E27FC236}">
              <a16:creationId xmlns="" xmlns:a16="http://schemas.microsoft.com/office/drawing/2014/main" id="{12294481-1BDB-42A5-98C1-6A3407D8A15E}"/>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56" name="Text Box 62">
          <a:extLst>
            <a:ext uri="{FF2B5EF4-FFF2-40B4-BE49-F238E27FC236}">
              <a16:creationId xmlns="" xmlns:a16="http://schemas.microsoft.com/office/drawing/2014/main" id="{7A45CB15-342C-4411-849B-45E95E4DD62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57" name="Text Box 63">
          <a:extLst>
            <a:ext uri="{FF2B5EF4-FFF2-40B4-BE49-F238E27FC236}">
              <a16:creationId xmlns="" xmlns:a16="http://schemas.microsoft.com/office/drawing/2014/main" id="{613F9E9B-ECE1-4375-854D-13D6FAB9EC0E}"/>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58" name="Text Box 64">
          <a:extLst>
            <a:ext uri="{FF2B5EF4-FFF2-40B4-BE49-F238E27FC236}">
              <a16:creationId xmlns="" xmlns:a16="http://schemas.microsoft.com/office/drawing/2014/main" id="{F98FF4BA-061D-47E4-AFCE-CF69FD8AC53C}"/>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659" name="Text Box 65">
          <a:extLst>
            <a:ext uri="{FF2B5EF4-FFF2-40B4-BE49-F238E27FC236}">
              <a16:creationId xmlns="" xmlns:a16="http://schemas.microsoft.com/office/drawing/2014/main" id="{12C7D9E5-C09F-4FA7-8D43-7496328EF6EB}"/>
            </a:ext>
          </a:extLst>
        </xdr:cNvPr>
        <xdr:cNvSpPr txBox="1">
          <a:spLocks noChangeArrowheads="1"/>
        </xdr:cNvSpPr>
      </xdr:nvSpPr>
      <xdr:spPr bwMode="auto">
        <a:xfrm>
          <a:off x="9361714" y="3954018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660" name="Text Box 66">
          <a:extLst>
            <a:ext uri="{FF2B5EF4-FFF2-40B4-BE49-F238E27FC236}">
              <a16:creationId xmlns="" xmlns:a16="http://schemas.microsoft.com/office/drawing/2014/main" id="{62D0CDFB-CCC4-4171-B8B2-75C61ACC0BE5}"/>
            </a:ext>
          </a:extLst>
        </xdr:cNvPr>
        <xdr:cNvSpPr txBox="1">
          <a:spLocks noChangeArrowheads="1"/>
        </xdr:cNvSpPr>
      </xdr:nvSpPr>
      <xdr:spPr bwMode="auto">
        <a:xfrm>
          <a:off x="9361714" y="3954018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1661" name="Text Box 67">
          <a:extLst>
            <a:ext uri="{FF2B5EF4-FFF2-40B4-BE49-F238E27FC236}">
              <a16:creationId xmlns="" xmlns:a16="http://schemas.microsoft.com/office/drawing/2014/main" id="{CA1D1BDF-F41E-48D1-9562-A836963A2914}"/>
            </a:ext>
          </a:extLst>
        </xdr:cNvPr>
        <xdr:cNvSpPr txBox="1">
          <a:spLocks noChangeArrowheads="1"/>
        </xdr:cNvSpPr>
      </xdr:nvSpPr>
      <xdr:spPr bwMode="auto">
        <a:xfrm>
          <a:off x="9361714" y="3954018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1662" name="Text Box 68">
          <a:extLst>
            <a:ext uri="{FF2B5EF4-FFF2-40B4-BE49-F238E27FC236}">
              <a16:creationId xmlns="" xmlns:a16="http://schemas.microsoft.com/office/drawing/2014/main" id="{D33D5E2E-6D39-4C5B-B5CD-D2035BC290D9}"/>
            </a:ext>
          </a:extLst>
        </xdr:cNvPr>
        <xdr:cNvSpPr txBox="1">
          <a:spLocks noChangeArrowheads="1"/>
        </xdr:cNvSpPr>
      </xdr:nvSpPr>
      <xdr:spPr bwMode="auto">
        <a:xfrm>
          <a:off x="9361714" y="3954018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663" name="Text Box 69">
          <a:extLst>
            <a:ext uri="{FF2B5EF4-FFF2-40B4-BE49-F238E27FC236}">
              <a16:creationId xmlns="" xmlns:a16="http://schemas.microsoft.com/office/drawing/2014/main" id="{34589548-6567-48A3-B8BA-B0463CFFE97D}"/>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664" name="Text Box 70">
          <a:extLst>
            <a:ext uri="{FF2B5EF4-FFF2-40B4-BE49-F238E27FC236}">
              <a16:creationId xmlns="" xmlns:a16="http://schemas.microsoft.com/office/drawing/2014/main" id="{E722430D-2871-4142-A7E8-F1114FFA3C69}"/>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665" name="Text Box 71">
          <a:extLst>
            <a:ext uri="{FF2B5EF4-FFF2-40B4-BE49-F238E27FC236}">
              <a16:creationId xmlns="" xmlns:a16="http://schemas.microsoft.com/office/drawing/2014/main" id="{C853655D-742B-4230-BE39-9BFBD7127FBC}"/>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666" name="Text Box 72">
          <a:extLst>
            <a:ext uri="{FF2B5EF4-FFF2-40B4-BE49-F238E27FC236}">
              <a16:creationId xmlns="" xmlns:a16="http://schemas.microsoft.com/office/drawing/2014/main" id="{9610BBF2-271E-402B-96A2-7764DE289FC2}"/>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67" name="Text Box 73">
          <a:extLst>
            <a:ext uri="{FF2B5EF4-FFF2-40B4-BE49-F238E27FC236}">
              <a16:creationId xmlns="" xmlns:a16="http://schemas.microsoft.com/office/drawing/2014/main" id="{878A9B47-2648-4B41-B683-9108B1ACD8C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68" name="Text Box 74">
          <a:extLst>
            <a:ext uri="{FF2B5EF4-FFF2-40B4-BE49-F238E27FC236}">
              <a16:creationId xmlns="" xmlns:a16="http://schemas.microsoft.com/office/drawing/2014/main" id="{C64E3C3C-2D50-4DA6-A3D0-4F84306A7EA1}"/>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69" name="Text Box 75">
          <a:extLst>
            <a:ext uri="{FF2B5EF4-FFF2-40B4-BE49-F238E27FC236}">
              <a16:creationId xmlns="" xmlns:a16="http://schemas.microsoft.com/office/drawing/2014/main" id="{CFD804CD-31E1-4D59-B22B-54B7EA063A1C}"/>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70" name="Text Box 76">
          <a:extLst>
            <a:ext uri="{FF2B5EF4-FFF2-40B4-BE49-F238E27FC236}">
              <a16:creationId xmlns="" xmlns:a16="http://schemas.microsoft.com/office/drawing/2014/main" id="{4ADF0AAF-87A0-4630-8AD8-AF1F74E757BC}"/>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71" name="Text Box 77">
          <a:extLst>
            <a:ext uri="{FF2B5EF4-FFF2-40B4-BE49-F238E27FC236}">
              <a16:creationId xmlns="" xmlns:a16="http://schemas.microsoft.com/office/drawing/2014/main" id="{B63FB78D-D0BA-4B64-8F5D-A026A5C89595}"/>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72" name="Text Box 78">
          <a:extLst>
            <a:ext uri="{FF2B5EF4-FFF2-40B4-BE49-F238E27FC236}">
              <a16:creationId xmlns="" xmlns:a16="http://schemas.microsoft.com/office/drawing/2014/main" id="{6B297D82-A9D0-4593-8E4B-B3B076785A8B}"/>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673" name="Text Box 79">
          <a:extLst>
            <a:ext uri="{FF2B5EF4-FFF2-40B4-BE49-F238E27FC236}">
              <a16:creationId xmlns="" xmlns:a16="http://schemas.microsoft.com/office/drawing/2014/main" id="{36585E92-A603-4B2C-9437-1F03197377AC}"/>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674" name="Text Box 80">
          <a:extLst>
            <a:ext uri="{FF2B5EF4-FFF2-40B4-BE49-F238E27FC236}">
              <a16:creationId xmlns="" xmlns:a16="http://schemas.microsoft.com/office/drawing/2014/main" id="{650AAB34-243A-4D88-A801-70891ABA6A6C}"/>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75" name="Text Box 81">
          <a:extLst>
            <a:ext uri="{FF2B5EF4-FFF2-40B4-BE49-F238E27FC236}">
              <a16:creationId xmlns="" xmlns:a16="http://schemas.microsoft.com/office/drawing/2014/main" id="{7EFA6A88-FE1A-4C50-AF3B-A77F587D4A20}"/>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76" name="Text Box 82">
          <a:extLst>
            <a:ext uri="{FF2B5EF4-FFF2-40B4-BE49-F238E27FC236}">
              <a16:creationId xmlns="" xmlns:a16="http://schemas.microsoft.com/office/drawing/2014/main" id="{314ED943-AB07-4FA2-9508-778A200D4580}"/>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77" name="Text Box 83">
          <a:extLst>
            <a:ext uri="{FF2B5EF4-FFF2-40B4-BE49-F238E27FC236}">
              <a16:creationId xmlns="" xmlns:a16="http://schemas.microsoft.com/office/drawing/2014/main" id="{5556C55D-27E1-48AC-B71E-9D6A6EEB6D33}"/>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78" name="Text Box 84">
          <a:extLst>
            <a:ext uri="{FF2B5EF4-FFF2-40B4-BE49-F238E27FC236}">
              <a16:creationId xmlns="" xmlns:a16="http://schemas.microsoft.com/office/drawing/2014/main" id="{D3EE8FF5-12D6-404A-876D-B44718236BFD}"/>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79" name="Text Box 85">
          <a:extLst>
            <a:ext uri="{FF2B5EF4-FFF2-40B4-BE49-F238E27FC236}">
              <a16:creationId xmlns="" xmlns:a16="http://schemas.microsoft.com/office/drawing/2014/main" id="{CFB28F8F-2525-4622-91BB-511C4ABCB04B}"/>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80" name="Text Box 86">
          <a:extLst>
            <a:ext uri="{FF2B5EF4-FFF2-40B4-BE49-F238E27FC236}">
              <a16:creationId xmlns="" xmlns:a16="http://schemas.microsoft.com/office/drawing/2014/main" id="{4A7A0519-C97C-4343-8413-30B21EEB408A}"/>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81" name="Text Box 87">
          <a:extLst>
            <a:ext uri="{FF2B5EF4-FFF2-40B4-BE49-F238E27FC236}">
              <a16:creationId xmlns="" xmlns:a16="http://schemas.microsoft.com/office/drawing/2014/main" id="{D7BB53EF-E74C-41FA-9F91-CCC5036FE66C}"/>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82" name="Text Box 88">
          <a:extLst>
            <a:ext uri="{FF2B5EF4-FFF2-40B4-BE49-F238E27FC236}">
              <a16:creationId xmlns="" xmlns:a16="http://schemas.microsoft.com/office/drawing/2014/main" id="{AC8FBB62-65F9-4A3B-B784-FB3F42D376C4}"/>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83" name="Text Box 89">
          <a:extLst>
            <a:ext uri="{FF2B5EF4-FFF2-40B4-BE49-F238E27FC236}">
              <a16:creationId xmlns="" xmlns:a16="http://schemas.microsoft.com/office/drawing/2014/main" id="{BDCCFD2E-096C-413F-BBB4-19BFAFDEA8D0}"/>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23157"/>
    <xdr:sp macro="" textlink="">
      <xdr:nvSpPr>
        <xdr:cNvPr id="1684" name="Text Box 90">
          <a:extLst>
            <a:ext uri="{FF2B5EF4-FFF2-40B4-BE49-F238E27FC236}">
              <a16:creationId xmlns="" xmlns:a16="http://schemas.microsoft.com/office/drawing/2014/main" id="{D2CB1B3D-32A2-4743-816D-4465313EBA4E}"/>
            </a:ext>
          </a:extLst>
        </xdr:cNvPr>
        <xdr:cNvSpPr txBox="1">
          <a:spLocks noChangeArrowheads="1"/>
        </xdr:cNvSpPr>
      </xdr:nvSpPr>
      <xdr:spPr bwMode="auto">
        <a:xfrm>
          <a:off x="9960429"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685" name="Text Box 91">
          <a:extLst>
            <a:ext uri="{FF2B5EF4-FFF2-40B4-BE49-F238E27FC236}">
              <a16:creationId xmlns="" xmlns:a16="http://schemas.microsoft.com/office/drawing/2014/main" id="{EF313767-BBBA-4CA5-B993-4CEE179A431E}"/>
            </a:ext>
          </a:extLst>
        </xdr:cNvPr>
        <xdr:cNvSpPr txBox="1">
          <a:spLocks noChangeArrowheads="1"/>
        </xdr:cNvSpPr>
      </xdr:nvSpPr>
      <xdr:spPr bwMode="auto">
        <a:xfrm>
          <a:off x="9960429"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686" name="Text Box 92">
          <a:extLst>
            <a:ext uri="{FF2B5EF4-FFF2-40B4-BE49-F238E27FC236}">
              <a16:creationId xmlns="" xmlns:a16="http://schemas.microsoft.com/office/drawing/2014/main" id="{12FA5587-0193-4366-86F2-D9D6FC288E9F}"/>
            </a:ext>
          </a:extLst>
        </xdr:cNvPr>
        <xdr:cNvSpPr txBox="1">
          <a:spLocks noChangeArrowheads="1"/>
        </xdr:cNvSpPr>
      </xdr:nvSpPr>
      <xdr:spPr bwMode="auto">
        <a:xfrm>
          <a:off x="9960429"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10</xdr:col>
      <xdr:colOff>298260</xdr:colOff>
      <xdr:row>276</xdr:row>
      <xdr:rowOff>0</xdr:rowOff>
    </xdr:from>
    <xdr:ext cx="223146" cy="2220292"/>
    <xdr:sp macro="" textlink="">
      <xdr:nvSpPr>
        <xdr:cNvPr id="1687" name="Text Box 93">
          <a:extLst>
            <a:ext uri="{FF2B5EF4-FFF2-40B4-BE49-F238E27FC236}">
              <a16:creationId xmlns="" xmlns:a16="http://schemas.microsoft.com/office/drawing/2014/main" id="{5241BB65-ADD8-431B-818C-A85341FF6B9C}"/>
            </a:ext>
          </a:extLst>
        </xdr:cNvPr>
        <xdr:cNvSpPr txBox="1">
          <a:spLocks noChangeArrowheads="1"/>
        </xdr:cNvSpPr>
      </xdr:nvSpPr>
      <xdr:spPr bwMode="auto">
        <a:xfrm rot="9185340" flipH="1" flipV="1">
          <a:off x="16871760" y="452687226"/>
          <a:ext cx="223146" cy="222029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11</xdr:col>
      <xdr:colOff>304800</xdr:colOff>
      <xdr:row>276</xdr:row>
      <xdr:rowOff>0</xdr:rowOff>
    </xdr:from>
    <xdr:ext cx="76200" cy="223157"/>
    <xdr:sp macro="" textlink="">
      <xdr:nvSpPr>
        <xdr:cNvPr id="1688" name="Text Box 94">
          <a:extLst>
            <a:ext uri="{FF2B5EF4-FFF2-40B4-BE49-F238E27FC236}">
              <a16:creationId xmlns="" xmlns:a16="http://schemas.microsoft.com/office/drawing/2014/main" id="{13954FE1-641C-48A8-B8AB-D471C8196B90}"/>
            </a:ext>
          </a:extLst>
        </xdr:cNvPr>
        <xdr:cNvSpPr txBox="1">
          <a:spLocks noChangeArrowheads="1"/>
        </xdr:cNvSpPr>
      </xdr:nvSpPr>
      <xdr:spPr bwMode="auto">
        <a:xfrm>
          <a:off x="17932400" y="4501896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89" name="Text Box 95">
          <a:extLst>
            <a:ext uri="{FF2B5EF4-FFF2-40B4-BE49-F238E27FC236}">
              <a16:creationId xmlns="" xmlns:a16="http://schemas.microsoft.com/office/drawing/2014/main" id="{4847660B-B501-42F1-B987-0BFB26B86A72}"/>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90" name="Text Box 96">
          <a:extLst>
            <a:ext uri="{FF2B5EF4-FFF2-40B4-BE49-F238E27FC236}">
              <a16:creationId xmlns="" xmlns:a16="http://schemas.microsoft.com/office/drawing/2014/main" id="{C8069A38-61C4-46FC-AEFD-5172A3D5BFD2}"/>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1691" name="Text Box 97">
          <a:extLst>
            <a:ext uri="{FF2B5EF4-FFF2-40B4-BE49-F238E27FC236}">
              <a16:creationId xmlns="" xmlns:a16="http://schemas.microsoft.com/office/drawing/2014/main" id="{374A0101-CAB4-4C21-A7E7-6ADD72C10F82}"/>
            </a:ext>
          </a:extLst>
        </xdr:cNvPr>
        <xdr:cNvSpPr txBox="1">
          <a:spLocks noChangeArrowheads="1"/>
        </xdr:cNvSpPr>
      </xdr:nvSpPr>
      <xdr:spPr bwMode="auto">
        <a:xfrm>
          <a:off x="9361714" y="3954018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42207"/>
    <xdr:sp macro="" textlink="">
      <xdr:nvSpPr>
        <xdr:cNvPr id="1692" name="Text Box 98">
          <a:extLst>
            <a:ext uri="{FF2B5EF4-FFF2-40B4-BE49-F238E27FC236}">
              <a16:creationId xmlns="" xmlns:a16="http://schemas.microsoft.com/office/drawing/2014/main" id="{BF0B8E6F-7277-4BB4-99C8-1F20341AA6A4}"/>
            </a:ext>
          </a:extLst>
        </xdr:cNvPr>
        <xdr:cNvSpPr txBox="1">
          <a:spLocks noChangeArrowheads="1"/>
        </xdr:cNvSpPr>
      </xdr:nvSpPr>
      <xdr:spPr bwMode="auto">
        <a:xfrm>
          <a:off x="9361714" y="39540180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93" name="Text Box 99">
          <a:extLst>
            <a:ext uri="{FF2B5EF4-FFF2-40B4-BE49-F238E27FC236}">
              <a16:creationId xmlns="" xmlns:a16="http://schemas.microsoft.com/office/drawing/2014/main" id="{8C035671-85A4-42BD-B71E-21DE7BD81CF6}"/>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694" name="Text Box 100">
          <a:extLst>
            <a:ext uri="{FF2B5EF4-FFF2-40B4-BE49-F238E27FC236}">
              <a16:creationId xmlns="" xmlns:a16="http://schemas.microsoft.com/office/drawing/2014/main" id="{AF3C5063-A6C8-4F28-97B9-FED8A9733F31}"/>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95" name="Text Box 101">
          <a:extLst>
            <a:ext uri="{FF2B5EF4-FFF2-40B4-BE49-F238E27FC236}">
              <a16:creationId xmlns="" xmlns:a16="http://schemas.microsoft.com/office/drawing/2014/main" id="{A0ED6504-3190-41D8-8CFE-E851E12BFD77}"/>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96" name="Text Box 102">
          <a:extLst>
            <a:ext uri="{FF2B5EF4-FFF2-40B4-BE49-F238E27FC236}">
              <a16:creationId xmlns="" xmlns:a16="http://schemas.microsoft.com/office/drawing/2014/main" id="{E7A12E5C-1345-4936-97A5-325542857A2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97" name="Text Box 103">
          <a:extLst>
            <a:ext uri="{FF2B5EF4-FFF2-40B4-BE49-F238E27FC236}">
              <a16:creationId xmlns="" xmlns:a16="http://schemas.microsoft.com/office/drawing/2014/main" id="{18CC7259-6AC6-4673-A2D4-CBB9A7D99B54}"/>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98" name="Text Box 104">
          <a:extLst>
            <a:ext uri="{FF2B5EF4-FFF2-40B4-BE49-F238E27FC236}">
              <a16:creationId xmlns="" xmlns:a16="http://schemas.microsoft.com/office/drawing/2014/main" id="{5BE7F909-08E0-4BB0-8511-BA31EBB9D220}"/>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699" name="Text Box 105">
          <a:extLst>
            <a:ext uri="{FF2B5EF4-FFF2-40B4-BE49-F238E27FC236}">
              <a16:creationId xmlns="" xmlns:a16="http://schemas.microsoft.com/office/drawing/2014/main" id="{3F73BAAE-1C9C-453C-A4E8-F30913D4DADE}"/>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00" name="Text Box 106">
          <a:extLst>
            <a:ext uri="{FF2B5EF4-FFF2-40B4-BE49-F238E27FC236}">
              <a16:creationId xmlns="" xmlns:a16="http://schemas.microsoft.com/office/drawing/2014/main" id="{B291E3F8-DB7B-46A0-8E21-3EBAFD2E2646}"/>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01" name="Text Box 107">
          <a:extLst>
            <a:ext uri="{FF2B5EF4-FFF2-40B4-BE49-F238E27FC236}">
              <a16:creationId xmlns="" xmlns:a16="http://schemas.microsoft.com/office/drawing/2014/main" id="{95872757-1568-4796-816E-BC66AF934C05}"/>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02" name="Text Box 108">
          <a:extLst>
            <a:ext uri="{FF2B5EF4-FFF2-40B4-BE49-F238E27FC236}">
              <a16:creationId xmlns="" xmlns:a16="http://schemas.microsoft.com/office/drawing/2014/main" id="{10E6BE25-6AE2-4FE5-A686-470FCA98358E}"/>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03" name="Text Box 109">
          <a:extLst>
            <a:ext uri="{FF2B5EF4-FFF2-40B4-BE49-F238E27FC236}">
              <a16:creationId xmlns="" xmlns:a16="http://schemas.microsoft.com/office/drawing/2014/main" id="{050128A7-7510-41DC-81B6-F8ABF661C0D1}"/>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04" name="Text Box 110">
          <a:extLst>
            <a:ext uri="{FF2B5EF4-FFF2-40B4-BE49-F238E27FC236}">
              <a16:creationId xmlns="" xmlns:a16="http://schemas.microsoft.com/office/drawing/2014/main" id="{18DEBCB2-D085-49BA-BC93-F8DD2F541D1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05" name="Text Box 111">
          <a:extLst>
            <a:ext uri="{FF2B5EF4-FFF2-40B4-BE49-F238E27FC236}">
              <a16:creationId xmlns="" xmlns:a16="http://schemas.microsoft.com/office/drawing/2014/main" id="{455217CD-04D4-4880-AF12-E118EA02E97E}"/>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06" name="Text Box 112">
          <a:extLst>
            <a:ext uri="{FF2B5EF4-FFF2-40B4-BE49-F238E27FC236}">
              <a16:creationId xmlns="" xmlns:a16="http://schemas.microsoft.com/office/drawing/2014/main" id="{AEFD8D57-72CF-463F-A1B2-E912ED1A53CB}"/>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1707" name="Text Box 113">
          <a:extLst>
            <a:ext uri="{FF2B5EF4-FFF2-40B4-BE49-F238E27FC236}">
              <a16:creationId xmlns="" xmlns:a16="http://schemas.microsoft.com/office/drawing/2014/main" id="{6C384333-A7FD-457C-861E-2B766E8C7AA1}"/>
            </a:ext>
          </a:extLst>
        </xdr:cNvPr>
        <xdr:cNvSpPr txBox="1">
          <a:spLocks noChangeArrowheads="1"/>
        </xdr:cNvSpPr>
      </xdr:nvSpPr>
      <xdr:spPr bwMode="auto">
        <a:xfrm>
          <a:off x="9361714"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32682"/>
    <xdr:sp macro="" textlink="">
      <xdr:nvSpPr>
        <xdr:cNvPr id="1708" name="Text Box 114">
          <a:extLst>
            <a:ext uri="{FF2B5EF4-FFF2-40B4-BE49-F238E27FC236}">
              <a16:creationId xmlns="" xmlns:a16="http://schemas.microsoft.com/office/drawing/2014/main" id="{3FCE2995-3EF1-48B1-9548-72A558ED692A}"/>
            </a:ext>
          </a:extLst>
        </xdr:cNvPr>
        <xdr:cNvSpPr txBox="1">
          <a:spLocks noChangeArrowheads="1"/>
        </xdr:cNvSpPr>
      </xdr:nvSpPr>
      <xdr:spPr bwMode="auto">
        <a:xfrm>
          <a:off x="9361714"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09" name="Text Box 115">
          <a:extLst>
            <a:ext uri="{FF2B5EF4-FFF2-40B4-BE49-F238E27FC236}">
              <a16:creationId xmlns="" xmlns:a16="http://schemas.microsoft.com/office/drawing/2014/main" id="{FE7C3703-D2A0-4938-8DD3-DD55EB3E835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10" name="Text Box 116">
          <a:extLst>
            <a:ext uri="{FF2B5EF4-FFF2-40B4-BE49-F238E27FC236}">
              <a16:creationId xmlns="" xmlns:a16="http://schemas.microsoft.com/office/drawing/2014/main" id="{780C81D7-D1C5-4745-8A65-2F5C75E6DAD3}"/>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11" name="Text Box 117">
          <a:extLst>
            <a:ext uri="{FF2B5EF4-FFF2-40B4-BE49-F238E27FC236}">
              <a16:creationId xmlns="" xmlns:a16="http://schemas.microsoft.com/office/drawing/2014/main" id="{E5EE9C4D-2A78-4216-9C4F-920FB0075002}"/>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12" name="Text Box 118">
          <a:extLst>
            <a:ext uri="{FF2B5EF4-FFF2-40B4-BE49-F238E27FC236}">
              <a16:creationId xmlns="" xmlns:a16="http://schemas.microsoft.com/office/drawing/2014/main" id="{4D17B8DD-BEB5-44B3-9E1F-4FA0F049AC09}"/>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13" name="Text Box 119">
          <a:extLst>
            <a:ext uri="{FF2B5EF4-FFF2-40B4-BE49-F238E27FC236}">
              <a16:creationId xmlns="" xmlns:a16="http://schemas.microsoft.com/office/drawing/2014/main" id="{5DEBA513-9528-430B-AF93-A6289B3DB27D}"/>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14" name="Text Box 120">
          <a:extLst>
            <a:ext uri="{FF2B5EF4-FFF2-40B4-BE49-F238E27FC236}">
              <a16:creationId xmlns="" xmlns:a16="http://schemas.microsoft.com/office/drawing/2014/main" id="{97C242B4-F115-4FCA-AC56-15F14970980D}"/>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15" name="Text Box 121">
          <a:extLst>
            <a:ext uri="{FF2B5EF4-FFF2-40B4-BE49-F238E27FC236}">
              <a16:creationId xmlns="" xmlns:a16="http://schemas.microsoft.com/office/drawing/2014/main" id="{D1E82F88-D9F4-43F4-A719-8B6921234475}"/>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16" name="Text Box 122">
          <a:extLst>
            <a:ext uri="{FF2B5EF4-FFF2-40B4-BE49-F238E27FC236}">
              <a16:creationId xmlns="" xmlns:a16="http://schemas.microsoft.com/office/drawing/2014/main" id="{70906917-7167-4A4F-BAD9-B59C8186976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17" name="Text Box 123">
          <a:extLst>
            <a:ext uri="{FF2B5EF4-FFF2-40B4-BE49-F238E27FC236}">
              <a16:creationId xmlns="" xmlns:a16="http://schemas.microsoft.com/office/drawing/2014/main" id="{6E07E5EB-F6B1-49CD-9C6C-2293D16060D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18" name="Text Box 124">
          <a:extLst>
            <a:ext uri="{FF2B5EF4-FFF2-40B4-BE49-F238E27FC236}">
              <a16:creationId xmlns="" xmlns:a16="http://schemas.microsoft.com/office/drawing/2014/main" id="{43B07362-054D-45FB-B91D-3254B4B2AC08}"/>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19" name="Text Box 125">
          <a:extLst>
            <a:ext uri="{FF2B5EF4-FFF2-40B4-BE49-F238E27FC236}">
              <a16:creationId xmlns="" xmlns:a16="http://schemas.microsoft.com/office/drawing/2014/main" id="{8709898B-A3EA-4341-A64C-FE2FA3ABB882}"/>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20" name="Text Box 126">
          <a:extLst>
            <a:ext uri="{FF2B5EF4-FFF2-40B4-BE49-F238E27FC236}">
              <a16:creationId xmlns="" xmlns:a16="http://schemas.microsoft.com/office/drawing/2014/main" id="{347F0C99-82AD-45B7-9FE5-C194DD03A2BC}"/>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21" name="Text Box 127">
          <a:extLst>
            <a:ext uri="{FF2B5EF4-FFF2-40B4-BE49-F238E27FC236}">
              <a16:creationId xmlns="" xmlns:a16="http://schemas.microsoft.com/office/drawing/2014/main" id="{69E36F66-31D9-4E8F-AC04-1934650D1016}"/>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22" name="Text Box 128">
          <a:extLst>
            <a:ext uri="{FF2B5EF4-FFF2-40B4-BE49-F238E27FC236}">
              <a16:creationId xmlns="" xmlns:a16="http://schemas.microsoft.com/office/drawing/2014/main" id="{8F6498E1-1149-45E9-9427-6581E514666A}"/>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723" name="Text Box 129">
          <a:extLst>
            <a:ext uri="{FF2B5EF4-FFF2-40B4-BE49-F238E27FC236}">
              <a16:creationId xmlns="" xmlns:a16="http://schemas.microsoft.com/office/drawing/2014/main" id="{B085C28A-3181-40DD-B785-517EB723E04D}"/>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724" name="Text Box 130">
          <a:extLst>
            <a:ext uri="{FF2B5EF4-FFF2-40B4-BE49-F238E27FC236}">
              <a16:creationId xmlns="" xmlns:a16="http://schemas.microsoft.com/office/drawing/2014/main" id="{E1C14E5D-D963-4E60-BBC9-D8EDF9D80A8D}"/>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725" name="Text Box 131">
          <a:extLst>
            <a:ext uri="{FF2B5EF4-FFF2-40B4-BE49-F238E27FC236}">
              <a16:creationId xmlns="" xmlns:a16="http://schemas.microsoft.com/office/drawing/2014/main" id="{E421DF84-CE3D-4214-B753-1EC7B2544ECC}"/>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726" name="Text Box 132">
          <a:extLst>
            <a:ext uri="{FF2B5EF4-FFF2-40B4-BE49-F238E27FC236}">
              <a16:creationId xmlns="" xmlns:a16="http://schemas.microsoft.com/office/drawing/2014/main" id="{A112B13F-A001-431F-B7F4-C92A7AEADE10}"/>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27" name="Text Box 133">
          <a:extLst>
            <a:ext uri="{FF2B5EF4-FFF2-40B4-BE49-F238E27FC236}">
              <a16:creationId xmlns="" xmlns:a16="http://schemas.microsoft.com/office/drawing/2014/main" id="{5E6CFC18-B5BF-452B-A61B-93191901C42B}"/>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28" name="Text Box 134">
          <a:extLst>
            <a:ext uri="{FF2B5EF4-FFF2-40B4-BE49-F238E27FC236}">
              <a16:creationId xmlns="" xmlns:a16="http://schemas.microsoft.com/office/drawing/2014/main" id="{B1217404-D20B-4568-9413-7005B42200CA}"/>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729" name="Text Box 135">
          <a:extLst>
            <a:ext uri="{FF2B5EF4-FFF2-40B4-BE49-F238E27FC236}">
              <a16:creationId xmlns="" xmlns:a16="http://schemas.microsoft.com/office/drawing/2014/main" id="{426F817A-6DF7-4005-84D5-F925FF8C5146}"/>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730" name="Text Box 136">
          <a:extLst>
            <a:ext uri="{FF2B5EF4-FFF2-40B4-BE49-F238E27FC236}">
              <a16:creationId xmlns="" xmlns:a16="http://schemas.microsoft.com/office/drawing/2014/main" id="{A5613F32-7A39-4D90-A595-500FFDDA73C5}"/>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31" name="Text Box 137">
          <a:extLst>
            <a:ext uri="{FF2B5EF4-FFF2-40B4-BE49-F238E27FC236}">
              <a16:creationId xmlns="" xmlns:a16="http://schemas.microsoft.com/office/drawing/2014/main" id="{7CE4BD71-F6A2-4131-859F-3A299C783EA9}"/>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32" name="Text Box 138">
          <a:extLst>
            <a:ext uri="{FF2B5EF4-FFF2-40B4-BE49-F238E27FC236}">
              <a16:creationId xmlns="" xmlns:a16="http://schemas.microsoft.com/office/drawing/2014/main" id="{B86FCF0F-C60F-4084-B5A3-697FA7BFD2CF}"/>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33" name="Text Box 139">
          <a:extLst>
            <a:ext uri="{FF2B5EF4-FFF2-40B4-BE49-F238E27FC236}">
              <a16:creationId xmlns="" xmlns:a16="http://schemas.microsoft.com/office/drawing/2014/main" id="{039680B1-86A9-4575-8B1F-FA6D947E828C}"/>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34" name="Text Box 140">
          <a:extLst>
            <a:ext uri="{FF2B5EF4-FFF2-40B4-BE49-F238E27FC236}">
              <a16:creationId xmlns="" xmlns:a16="http://schemas.microsoft.com/office/drawing/2014/main" id="{2C817E27-BD67-46C2-9F44-C93BD75334AA}"/>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35" name="Text Box 141">
          <a:extLst>
            <a:ext uri="{FF2B5EF4-FFF2-40B4-BE49-F238E27FC236}">
              <a16:creationId xmlns="" xmlns:a16="http://schemas.microsoft.com/office/drawing/2014/main" id="{2E355F68-929F-4D47-9FF0-5F06CDBF83FA}"/>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23157"/>
    <xdr:sp macro="" textlink="">
      <xdr:nvSpPr>
        <xdr:cNvPr id="1736" name="Text Box 142">
          <a:extLst>
            <a:ext uri="{FF2B5EF4-FFF2-40B4-BE49-F238E27FC236}">
              <a16:creationId xmlns="" xmlns:a16="http://schemas.microsoft.com/office/drawing/2014/main" id="{FE9D6922-ECE2-4366-8B47-F712D03B37A4}"/>
            </a:ext>
          </a:extLst>
        </xdr:cNvPr>
        <xdr:cNvSpPr txBox="1">
          <a:spLocks noChangeArrowheads="1"/>
        </xdr:cNvSpPr>
      </xdr:nvSpPr>
      <xdr:spPr bwMode="auto">
        <a:xfrm>
          <a:off x="9361714"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737" name="Text Box 143">
          <a:extLst>
            <a:ext uri="{FF2B5EF4-FFF2-40B4-BE49-F238E27FC236}">
              <a16:creationId xmlns="" xmlns:a16="http://schemas.microsoft.com/office/drawing/2014/main" id="{C71A77ED-8501-494D-86DA-ECF40E6CACA8}"/>
            </a:ext>
          </a:extLst>
        </xdr:cNvPr>
        <xdr:cNvSpPr txBox="1">
          <a:spLocks noChangeArrowheads="1"/>
        </xdr:cNvSpPr>
      </xdr:nvSpPr>
      <xdr:spPr bwMode="auto">
        <a:xfrm>
          <a:off x="9361714" y="3954018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61925"/>
    <xdr:sp macro="" textlink="">
      <xdr:nvSpPr>
        <xdr:cNvPr id="1738" name="Text Box 144">
          <a:extLst>
            <a:ext uri="{FF2B5EF4-FFF2-40B4-BE49-F238E27FC236}">
              <a16:creationId xmlns="" xmlns:a16="http://schemas.microsoft.com/office/drawing/2014/main" id="{3F6A4619-51F1-4187-99C8-BC211550880E}"/>
            </a:ext>
          </a:extLst>
        </xdr:cNvPr>
        <xdr:cNvSpPr txBox="1">
          <a:spLocks noChangeArrowheads="1"/>
        </xdr:cNvSpPr>
      </xdr:nvSpPr>
      <xdr:spPr bwMode="auto">
        <a:xfrm>
          <a:off x="9361714" y="395401800"/>
          <a:ext cx="7620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1739" name="Text Box 145">
          <a:extLst>
            <a:ext uri="{FF2B5EF4-FFF2-40B4-BE49-F238E27FC236}">
              <a16:creationId xmlns="" xmlns:a16="http://schemas.microsoft.com/office/drawing/2014/main" id="{B574C0FD-CB59-429A-81B4-316A37CF6562}"/>
            </a:ext>
          </a:extLst>
        </xdr:cNvPr>
        <xdr:cNvSpPr txBox="1">
          <a:spLocks noChangeArrowheads="1"/>
        </xdr:cNvSpPr>
      </xdr:nvSpPr>
      <xdr:spPr bwMode="auto">
        <a:xfrm>
          <a:off x="9361714" y="3954018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327932"/>
    <xdr:sp macro="" textlink="">
      <xdr:nvSpPr>
        <xdr:cNvPr id="1740" name="Text Box 146">
          <a:extLst>
            <a:ext uri="{FF2B5EF4-FFF2-40B4-BE49-F238E27FC236}">
              <a16:creationId xmlns="" xmlns:a16="http://schemas.microsoft.com/office/drawing/2014/main" id="{4E68CEA8-11BE-4D55-A8B7-161328DDEE26}"/>
            </a:ext>
          </a:extLst>
        </xdr:cNvPr>
        <xdr:cNvSpPr txBox="1">
          <a:spLocks noChangeArrowheads="1"/>
        </xdr:cNvSpPr>
      </xdr:nvSpPr>
      <xdr:spPr bwMode="auto">
        <a:xfrm>
          <a:off x="9361714" y="39540180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741" name="Text Box 147">
          <a:extLst>
            <a:ext uri="{FF2B5EF4-FFF2-40B4-BE49-F238E27FC236}">
              <a16:creationId xmlns="" xmlns:a16="http://schemas.microsoft.com/office/drawing/2014/main" id="{8843338B-5908-458B-8455-BA37B25F4404}"/>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742" name="Text Box 148">
          <a:extLst>
            <a:ext uri="{FF2B5EF4-FFF2-40B4-BE49-F238E27FC236}">
              <a16:creationId xmlns="" xmlns:a16="http://schemas.microsoft.com/office/drawing/2014/main" id="{9433034E-5187-4F41-B336-B75B21398F51}"/>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743" name="Text Box 149">
          <a:extLst>
            <a:ext uri="{FF2B5EF4-FFF2-40B4-BE49-F238E27FC236}">
              <a16:creationId xmlns="" xmlns:a16="http://schemas.microsoft.com/office/drawing/2014/main" id="{20801A4B-64D0-42F1-ACC0-AD9687A0E054}"/>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71450"/>
    <xdr:sp macro="" textlink="">
      <xdr:nvSpPr>
        <xdr:cNvPr id="1744" name="Text Box 150">
          <a:extLst>
            <a:ext uri="{FF2B5EF4-FFF2-40B4-BE49-F238E27FC236}">
              <a16:creationId xmlns="" xmlns:a16="http://schemas.microsoft.com/office/drawing/2014/main" id="{9EACCA66-5E52-44B8-8FB6-D76D4F96CA41}"/>
            </a:ext>
          </a:extLst>
        </xdr:cNvPr>
        <xdr:cNvSpPr txBox="1">
          <a:spLocks noChangeArrowheads="1"/>
        </xdr:cNvSpPr>
      </xdr:nvSpPr>
      <xdr:spPr bwMode="auto">
        <a:xfrm>
          <a:off x="9361714" y="395401800"/>
          <a:ext cx="76200" cy="171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45" name="Text Box 151">
          <a:extLst>
            <a:ext uri="{FF2B5EF4-FFF2-40B4-BE49-F238E27FC236}">
              <a16:creationId xmlns="" xmlns:a16="http://schemas.microsoft.com/office/drawing/2014/main" id="{2970B1FC-BA7C-4D8A-AE73-EA53A3162305}"/>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46" name="Text Box 152">
          <a:extLst>
            <a:ext uri="{FF2B5EF4-FFF2-40B4-BE49-F238E27FC236}">
              <a16:creationId xmlns="" xmlns:a16="http://schemas.microsoft.com/office/drawing/2014/main" id="{975973AE-D57F-4411-AF26-DC8AE40A6DFE}"/>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47" name="Text Box 153">
          <a:extLst>
            <a:ext uri="{FF2B5EF4-FFF2-40B4-BE49-F238E27FC236}">
              <a16:creationId xmlns="" xmlns:a16="http://schemas.microsoft.com/office/drawing/2014/main" id="{33821D0F-FC93-4A87-BD5D-0DB7D48ADB09}"/>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48" name="Text Box 154">
          <a:extLst>
            <a:ext uri="{FF2B5EF4-FFF2-40B4-BE49-F238E27FC236}">
              <a16:creationId xmlns="" xmlns:a16="http://schemas.microsoft.com/office/drawing/2014/main" id="{7D7774A2-69C6-4517-A96D-3434D416CA9E}"/>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49" name="Text Box 155">
          <a:extLst>
            <a:ext uri="{FF2B5EF4-FFF2-40B4-BE49-F238E27FC236}">
              <a16:creationId xmlns="" xmlns:a16="http://schemas.microsoft.com/office/drawing/2014/main" id="{EF104031-3088-4D49-B53B-B9BA2053142C}"/>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50" name="Text Box 156">
          <a:extLst>
            <a:ext uri="{FF2B5EF4-FFF2-40B4-BE49-F238E27FC236}">
              <a16:creationId xmlns="" xmlns:a16="http://schemas.microsoft.com/office/drawing/2014/main" id="{F84EBCDF-5FFD-4CE2-A99D-07EAA9F59641}"/>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751" name="Text Box 157">
          <a:extLst>
            <a:ext uri="{FF2B5EF4-FFF2-40B4-BE49-F238E27FC236}">
              <a16:creationId xmlns="" xmlns:a16="http://schemas.microsoft.com/office/drawing/2014/main" id="{92C2CC49-4CCA-44F7-847D-D0E130DF7755}"/>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180975"/>
    <xdr:sp macro="" textlink="">
      <xdr:nvSpPr>
        <xdr:cNvPr id="1752" name="Text Box 158">
          <a:extLst>
            <a:ext uri="{FF2B5EF4-FFF2-40B4-BE49-F238E27FC236}">
              <a16:creationId xmlns="" xmlns:a16="http://schemas.microsoft.com/office/drawing/2014/main" id="{3C753EF3-8CF9-482A-A532-66A510B920DD}"/>
            </a:ext>
          </a:extLst>
        </xdr:cNvPr>
        <xdr:cNvSpPr txBox="1">
          <a:spLocks noChangeArrowheads="1"/>
        </xdr:cNvSpPr>
      </xdr:nvSpPr>
      <xdr:spPr bwMode="auto">
        <a:xfrm>
          <a:off x="9361714" y="395401800"/>
          <a:ext cx="76200" cy="180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53" name="Text Box 214">
          <a:extLst>
            <a:ext uri="{FF2B5EF4-FFF2-40B4-BE49-F238E27FC236}">
              <a16:creationId xmlns="" xmlns:a16="http://schemas.microsoft.com/office/drawing/2014/main" id="{D898C7EE-1086-4731-8E7E-F249F2009A09}"/>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13632"/>
    <xdr:sp macro="" textlink="">
      <xdr:nvSpPr>
        <xdr:cNvPr id="1754" name="Text Box 215">
          <a:extLst>
            <a:ext uri="{FF2B5EF4-FFF2-40B4-BE49-F238E27FC236}">
              <a16:creationId xmlns="" xmlns:a16="http://schemas.microsoft.com/office/drawing/2014/main" id="{AFA5341D-1664-43FF-9EAE-2CE5AADDD1B9}"/>
            </a:ext>
          </a:extLst>
        </xdr:cNvPr>
        <xdr:cNvSpPr txBox="1">
          <a:spLocks noChangeArrowheads="1"/>
        </xdr:cNvSpPr>
      </xdr:nvSpPr>
      <xdr:spPr bwMode="auto">
        <a:xfrm>
          <a:off x="9361714" y="395401800"/>
          <a:ext cx="76200" cy="2136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9</xdr:col>
      <xdr:colOff>177798</xdr:colOff>
      <xdr:row>276</xdr:row>
      <xdr:rowOff>0</xdr:rowOff>
    </xdr:from>
    <xdr:ext cx="4940301" cy="1231900"/>
    <xdr:sp macro="" textlink="">
      <xdr:nvSpPr>
        <xdr:cNvPr id="1757" name="Text Box 804">
          <a:extLst>
            <a:ext uri="{FF2B5EF4-FFF2-40B4-BE49-F238E27FC236}">
              <a16:creationId xmlns="" xmlns:a16="http://schemas.microsoft.com/office/drawing/2014/main" id="{B0DC0E86-0F98-4C0D-B1D1-9969604BFE0E}"/>
            </a:ext>
          </a:extLst>
        </xdr:cNvPr>
        <xdr:cNvSpPr txBox="1">
          <a:spLocks noChangeArrowheads="1"/>
        </xdr:cNvSpPr>
      </xdr:nvSpPr>
      <xdr:spPr bwMode="auto">
        <a:xfrm>
          <a:off x="15697198" y="451408800"/>
          <a:ext cx="4940301" cy="1231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59" name="Text Box 47">
          <a:extLst>
            <a:ext uri="{FF2B5EF4-FFF2-40B4-BE49-F238E27FC236}">
              <a16:creationId xmlns="" xmlns:a16="http://schemas.microsoft.com/office/drawing/2014/main" id="{265DD986-F1E1-49C7-89AB-B303DF8927C3}"/>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0" name="Text Box 48">
          <a:extLst>
            <a:ext uri="{FF2B5EF4-FFF2-40B4-BE49-F238E27FC236}">
              <a16:creationId xmlns="" xmlns:a16="http://schemas.microsoft.com/office/drawing/2014/main" id="{A6FDFF10-81F5-4FC9-A459-9B767A40D17E}"/>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1" name="Text Box 49">
          <a:extLst>
            <a:ext uri="{FF2B5EF4-FFF2-40B4-BE49-F238E27FC236}">
              <a16:creationId xmlns="" xmlns:a16="http://schemas.microsoft.com/office/drawing/2014/main" id="{459DA350-967F-4E72-A37D-7DEBFB8A5FE0}"/>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2" name="Text Box 50">
          <a:extLst>
            <a:ext uri="{FF2B5EF4-FFF2-40B4-BE49-F238E27FC236}">
              <a16:creationId xmlns="" xmlns:a16="http://schemas.microsoft.com/office/drawing/2014/main" id="{F0569427-CFE0-4F61-BEBD-30272CB45962}"/>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3" name="Text Box 70">
          <a:extLst>
            <a:ext uri="{FF2B5EF4-FFF2-40B4-BE49-F238E27FC236}">
              <a16:creationId xmlns="" xmlns:a16="http://schemas.microsoft.com/office/drawing/2014/main" id="{1760A904-9647-43D7-A051-AADBCE0B1317}"/>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4" name="Text Box 71">
          <a:extLst>
            <a:ext uri="{FF2B5EF4-FFF2-40B4-BE49-F238E27FC236}">
              <a16:creationId xmlns="" xmlns:a16="http://schemas.microsoft.com/office/drawing/2014/main" id="{A71C5FE9-EA5B-4174-9CFB-0F5399EFCD11}"/>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5" name="Text Box 83">
          <a:extLst>
            <a:ext uri="{FF2B5EF4-FFF2-40B4-BE49-F238E27FC236}">
              <a16:creationId xmlns="" xmlns:a16="http://schemas.microsoft.com/office/drawing/2014/main" id="{2C35D929-A601-421E-A823-524B7593EBE5}"/>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6" name="Text Box 84">
          <a:extLst>
            <a:ext uri="{FF2B5EF4-FFF2-40B4-BE49-F238E27FC236}">
              <a16:creationId xmlns="" xmlns:a16="http://schemas.microsoft.com/office/drawing/2014/main" id="{42A7EA95-7BDE-4A01-B6A8-508916C0B132}"/>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7" name="Text Box 85">
          <a:extLst>
            <a:ext uri="{FF2B5EF4-FFF2-40B4-BE49-F238E27FC236}">
              <a16:creationId xmlns="" xmlns:a16="http://schemas.microsoft.com/office/drawing/2014/main" id="{AB4CF23E-5461-4E0C-9747-99BFFEED496E}"/>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8" name="Text Box 86">
          <a:extLst>
            <a:ext uri="{FF2B5EF4-FFF2-40B4-BE49-F238E27FC236}">
              <a16:creationId xmlns="" xmlns:a16="http://schemas.microsoft.com/office/drawing/2014/main" id="{A5D86CC6-D51E-47D6-91EE-C0462C17644C}"/>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69" name="Text Box 93">
          <a:extLst>
            <a:ext uri="{FF2B5EF4-FFF2-40B4-BE49-F238E27FC236}">
              <a16:creationId xmlns="" xmlns:a16="http://schemas.microsoft.com/office/drawing/2014/main" id="{678480F6-2FF4-426A-916E-F8BF609E9BAB}"/>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70" name="Text Box 94">
          <a:extLst>
            <a:ext uri="{FF2B5EF4-FFF2-40B4-BE49-F238E27FC236}">
              <a16:creationId xmlns="" xmlns:a16="http://schemas.microsoft.com/office/drawing/2014/main" id="{CA44B179-C914-4098-AB55-1A8007AE99DC}"/>
            </a:ext>
          </a:extLst>
        </xdr:cNvPr>
        <xdr:cNvSpPr txBox="1">
          <a:spLocks noChangeArrowheads="1"/>
        </xdr:cNvSpPr>
      </xdr:nvSpPr>
      <xdr:spPr bwMode="auto">
        <a:xfrm>
          <a:off x="11299371"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61925"/>
    <xdr:sp macro="" textlink="">
      <xdr:nvSpPr>
        <xdr:cNvPr id="1771" name="Text Box 804">
          <a:extLst>
            <a:ext uri="{FF2B5EF4-FFF2-40B4-BE49-F238E27FC236}">
              <a16:creationId xmlns="" xmlns:a16="http://schemas.microsoft.com/office/drawing/2014/main" id="{9D751CCD-916A-4D0F-97DA-7548B04BA1F7}"/>
            </a:ext>
          </a:extLst>
        </xdr:cNvPr>
        <xdr:cNvSpPr txBox="1">
          <a:spLocks noChangeArrowheads="1"/>
        </xdr:cNvSpPr>
      </xdr:nvSpPr>
      <xdr:spPr bwMode="auto">
        <a:xfrm>
          <a:off x="11299371" y="395401800"/>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52400"/>
    <xdr:sp macro="" textlink="">
      <xdr:nvSpPr>
        <xdr:cNvPr id="1772" name="Text Box 804">
          <a:extLst>
            <a:ext uri="{FF2B5EF4-FFF2-40B4-BE49-F238E27FC236}">
              <a16:creationId xmlns="" xmlns:a16="http://schemas.microsoft.com/office/drawing/2014/main" id="{AB226CD8-E0AE-4276-A5F1-5FBC23387D80}"/>
            </a:ext>
          </a:extLst>
        </xdr:cNvPr>
        <xdr:cNvSpPr txBox="1">
          <a:spLocks noChangeArrowheads="1"/>
        </xdr:cNvSpPr>
      </xdr:nvSpPr>
      <xdr:spPr bwMode="auto">
        <a:xfrm>
          <a:off x="11299371" y="395401800"/>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73" name="Text Box 43">
          <a:extLst>
            <a:ext uri="{FF2B5EF4-FFF2-40B4-BE49-F238E27FC236}">
              <a16:creationId xmlns="" xmlns:a16="http://schemas.microsoft.com/office/drawing/2014/main" id="{69CA1131-373F-4BCA-A3B8-CCD68D53576C}"/>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74" name="Text Box 45">
          <a:extLst>
            <a:ext uri="{FF2B5EF4-FFF2-40B4-BE49-F238E27FC236}">
              <a16:creationId xmlns="" xmlns:a16="http://schemas.microsoft.com/office/drawing/2014/main" id="{3185EE99-B544-49D9-BAB2-392E94A24B7C}"/>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75" name="Text Box 64">
          <a:extLst>
            <a:ext uri="{FF2B5EF4-FFF2-40B4-BE49-F238E27FC236}">
              <a16:creationId xmlns="" xmlns:a16="http://schemas.microsoft.com/office/drawing/2014/main" id="{026EF9E2-52C7-4213-89BE-6672EA5EB6C8}"/>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76" name="Text Box 65">
          <a:extLst>
            <a:ext uri="{FF2B5EF4-FFF2-40B4-BE49-F238E27FC236}">
              <a16:creationId xmlns="" xmlns:a16="http://schemas.microsoft.com/office/drawing/2014/main" id="{78F843B6-8026-4C93-A5EB-88EF34BE6A9C}"/>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77" name="Text Box 66">
          <a:extLst>
            <a:ext uri="{FF2B5EF4-FFF2-40B4-BE49-F238E27FC236}">
              <a16:creationId xmlns="" xmlns:a16="http://schemas.microsoft.com/office/drawing/2014/main" id="{073417B1-034C-4882-A546-2455089F8881}"/>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78" name="Text Box 67">
          <a:extLst>
            <a:ext uri="{FF2B5EF4-FFF2-40B4-BE49-F238E27FC236}">
              <a16:creationId xmlns="" xmlns:a16="http://schemas.microsoft.com/office/drawing/2014/main" id="{DDA39B3C-495C-409A-A9EA-53AB18220D81}"/>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79" name="Text Box 81">
          <a:extLst>
            <a:ext uri="{FF2B5EF4-FFF2-40B4-BE49-F238E27FC236}">
              <a16:creationId xmlns="" xmlns:a16="http://schemas.microsoft.com/office/drawing/2014/main" id="{C8428265-6647-4005-AB71-499170933808}"/>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80" name="Text Box 82">
          <a:extLst>
            <a:ext uri="{FF2B5EF4-FFF2-40B4-BE49-F238E27FC236}">
              <a16:creationId xmlns="" xmlns:a16="http://schemas.microsoft.com/office/drawing/2014/main" id="{7D3E44DE-DC91-42E3-859D-BBFF9D48D666}"/>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81" name="Text Box 87">
          <a:extLst>
            <a:ext uri="{FF2B5EF4-FFF2-40B4-BE49-F238E27FC236}">
              <a16:creationId xmlns="" xmlns:a16="http://schemas.microsoft.com/office/drawing/2014/main" id="{F13AF499-59BC-4D9B-AE15-D77789D04721}"/>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82" name="Text Box 88">
          <a:extLst>
            <a:ext uri="{FF2B5EF4-FFF2-40B4-BE49-F238E27FC236}">
              <a16:creationId xmlns="" xmlns:a16="http://schemas.microsoft.com/office/drawing/2014/main" id="{14C28E48-4DC6-4071-946F-846BB0526C6F}"/>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276</xdr:row>
      <xdr:rowOff>0</xdr:rowOff>
    </xdr:from>
    <xdr:ext cx="76200" cy="223157"/>
    <xdr:sp macro="" textlink="">
      <xdr:nvSpPr>
        <xdr:cNvPr id="1783" name="Text Box 89">
          <a:extLst>
            <a:ext uri="{FF2B5EF4-FFF2-40B4-BE49-F238E27FC236}">
              <a16:creationId xmlns="" xmlns:a16="http://schemas.microsoft.com/office/drawing/2014/main" id="{5B6C507D-913B-48D5-A682-9FA8F6ECCB52}"/>
            </a:ext>
          </a:extLst>
        </xdr:cNvPr>
        <xdr:cNvSpPr txBox="1">
          <a:spLocks noChangeArrowheads="1"/>
        </xdr:cNvSpPr>
      </xdr:nvSpPr>
      <xdr:spPr bwMode="auto">
        <a:xfrm>
          <a:off x="609600" y="395401800"/>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1785" name="Text Box 68">
          <a:extLst>
            <a:ext uri="{FF2B5EF4-FFF2-40B4-BE49-F238E27FC236}">
              <a16:creationId xmlns="" xmlns:a16="http://schemas.microsoft.com/office/drawing/2014/main" id="{FB1C8C8F-123B-4764-836D-E22938207DF5}"/>
            </a:ext>
          </a:extLst>
        </xdr:cNvPr>
        <xdr:cNvSpPr txBox="1">
          <a:spLocks noChangeArrowheads="1"/>
        </xdr:cNvSpPr>
      </xdr:nvSpPr>
      <xdr:spPr bwMode="auto">
        <a:xfrm>
          <a:off x="2677886"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276</xdr:row>
      <xdr:rowOff>0</xdr:rowOff>
    </xdr:from>
    <xdr:ext cx="76200" cy="232682"/>
    <xdr:sp macro="" textlink="">
      <xdr:nvSpPr>
        <xdr:cNvPr id="1786" name="Text Box 69">
          <a:extLst>
            <a:ext uri="{FF2B5EF4-FFF2-40B4-BE49-F238E27FC236}">
              <a16:creationId xmlns="" xmlns:a16="http://schemas.microsoft.com/office/drawing/2014/main" id="{A8F8B2AC-6FBC-45E0-B7C1-D9CF90441F1E}"/>
            </a:ext>
          </a:extLst>
        </xdr:cNvPr>
        <xdr:cNvSpPr txBox="1">
          <a:spLocks noChangeArrowheads="1"/>
        </xdr:cNvSpPr>
      </xdr:nvSpPr>
      <xdr:spPr bwMode="auto">
        <a:xfrm>
          <a:off x="2677886" y="3954018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8</xdr:col>
      <xdr:colOff>63500</xdr:colOff>
      <xdr:row>276</xdr:row>
      <xdr:rowOff>0</xdr:rowOff>
    </xdr:from>
    <xdr:ext cx="76200" cy="232682"/>
    <xdr:sp macro="" textlink="">
      <xdr:nvSpPr>
        <xdr:cNvPr id="1787" name="Text Box 91">
          <a:extLst>
            <a:ext uri="{FF2B5EF4-FFF2-40B4-BE49-F238E27FC236}">
              <a16:creationId xmlns="" xmlns:a16="http://schemas.microsoft.com/office/drawing/2014/main" id="{BAB8E1B7-D747-4026-9A3D-1873C6B49D3E}"/>
            </a:ext>
          </a:extLst>
        </xdr:cNvPr>
        <xdr:cNvSpPr txBox="1">
          <a:spLocks noChangeArrowheads="1"/>
        </xdr:cNvSpPr>
      </xdr:nvSpPr>
      <xdr:spPr bwMode="auto">
        <a:xfrm>
          <a:off x="14363700" y="45417740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88" name="Text Box 47">
          <a:extLst>
            <a:ext uri="{FF2B5EF4-FFF2-40B4-BE49-F238E27FC236}">
              <a16:creationId xmlns="" xmlns:a16="http://schemas.microsoft.com/office/drawing/2014/main" id="{CCD7FDA9-F1BF-436F-BC31-77F449EEB25A}"/>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89" name="Text Box 48">
          <a:extLst>
            <a:ext uri="{FF2B5EF4-FFF2-40B4-BE49-F238E27FC236}">
              <a16:creationId xmlns="" xmlns:a16="http://schemas.microsoft.com/office/drawing/2014/main" id="{0210D2D4-5BC7-4624-8F1F-FC0A6596FD77}"/>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0" name="Text Box 49">
          <a:extLst>
            <a:ext uri="{FF2B5EF4-FFF2-40B4-BE49-F238E27FC236}">
              <a16:creationId xmlns="" xmlns:a16="http://schemas.microsoft.com/office/drawing/2014/main" id="{1F38D8BB-87EE-4FF4-A0B8-BD9F72297D0D}"/>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1" name="Text Box 50">
          <a:extLst>
            <a:ext uri="{FF2B5EF4-FFF2-40B4-BE49-F238E27FC236}">
              <a16:creationId xmlns="" xmlns:a16="http://schemas.microsoft.com/office/drawing/2014/main" id="{42F5950D-B08C-4C99-B321-211B15673D9F}"/>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2" name="Text Box 70">
          <a:extLst>
            <a:ext uri="{FF2B5EF4-FFF2-40B4-BE49-F238E27FC236}">
              <a16:creationId xmlns="" xmlns:a16="http://schemas.microsoft.com/office/drawing/2014/main" id="{78F2E5C2-FDCA-497A-9AAA-9FB47092B759}"/>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3" name="Text Box 71">
          <a:extLst>
            <a:ext uri="{FF2B5EF4-FFF2-40B4-BE49-F238E27FC236}">
              <a16:creationId xmlns="" xmlns:a16="http://schemas.microsoft.com/office/drawing/2014/main" id="{B2D0ED56-E91D-482E-9EC9-F216372913C8}"/>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4" name="Text Box 83">
          <a:extLst>
            <a:ext uri="{FF2B5EF4-FFF2-40B4-BE49-F238E27FC236}">
              <a16:creationId xmlns="" xmlns:a16="http://schemas.microsoft.com/office/drawing/2014/main" id="{0B507F7D-08C7-4FE7-94C9-99682E767819}"/>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5" name="Text Box 84">
          <a:extLst>
            <a:ext uri="{FF2B5EF4-FFF2-40B4-BE49-F238E27FC236}">
              <a16:creationId xmlns="" xmlns:a16="http://schemas.microsoft.com/office/drawing/2014/main" id="{DFF14597-2A49-4063-9E58-741445782C9F}"/>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6" name="Text Box 85">
          <a:extLst>
            <a:ext uri="{FF2B5EF4-FFF2-40B4-BE49-F238E27FC236}">
              <a16:creationId xmlns="" xmlns:a16="http://schemas.microsoft.com/office/drawing/2014/main" id="{F6C84184-8A3D-4485-AACC-27D5564A0C4C}"/>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7" name="Text Box 86">
          <a:extLst>
            <a:ext uri="{FF2B5EF4-FFF2-40B4-BE49-F238E27FC236}">
              <a16:creationId xmlns="" xmlns:a16="http://schemas.microsoft.com/office/drawing/2014/main" id="{BC8F9C87-BAC3-40D0-B7D6-5E2C3736DD5C}"/>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8" name="Text Box 93">
          <a:extLst>
            <a:ext uri="{FF2B5EF4-FFF2-40B4-BE49-F238E27FC236}">
              <a16:creationId xmlns="" xmlns:a16="http://schemas.microsoft.com/office/drawing/2014/main" id="{1C90C149-ACF3-45D0-92E9-1A4653B6BE32}"/>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799" name="Text Box 94">
          <a:extLst>
            <a:ext uri="{FF2B5EF4-FFF2-40B4-BE49-F238E27FC236}">
              <a16:creationId xmlns="" xmlns:a16="http://schemas.microsoft.com/office/drawing/2014/main" id="{6E5D3133-DA03-467D-95F8-2C73E073F405}"/>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61925"/>
    <xdr:sp macro="" textlink="">
      <xdr:nvSpPr>
        <xdr:cNvPr id="1800" name="Text Box 804">
          <a:extLst>
            <a:ext uri="{FF2B5EF4-FFF2-40B4-BE49-F238E27FC236}">
              <a16:creationId xmlns="" xmlns:a16="http://schemas.microsoft.com/office/drawing/2014/main" id="{4CD04822-8C75-42F8-8ED7-0C0AB05ECE9B}"/>
            </a:ext>
          </a:extLst>
        </xdr:cNvPr>
        <xdr:cNvSpPr txBox="1">
          <a:spLocks noChangeArrowheads="1"/>
        </xdr:cNvSpPr>
      </xdr:nvSpPr>
      <xdr:spPr bwMode="auto">
        <a:xfrm>
          <a:off x="10531929" y="356166964"/>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02" name="Text Box 47">
          <a:extLst>
            <a:ext uri="{FF2B5EF4-FFF2-40B4-BE49-F238E27FC236}">
              <a16:creationId xmlns="" xmlns:a16="http://schemas.microsoft.com/office/drawing/2014/main" id="{32E9C8E0-FA8E-4021-9A21-CA8DE523AA81}"/>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03" name="Text Box 48">
          <a:extLst>
            <a:ext uri="{FF2B5EF4-FFF2-40B4-BE49-F238E27FC236}">
              <a16:creationId xmlns="" xmlns:a16="http://schemas.microsoft.com/office/drawing/2014/main" id="{7F3AFA0B-56FB-44DB-B3FE-CFD534820DF8}"/>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04" name="Text Box 49">
          <a:extLst>
            <a:ext uri="{FF2B5EF4-FFF2-40B4-BE49-F238E27FC236}">
              <a16:creationId xmlns="" xmlns:a16="http://schemas.microsoft.com/office/drawing/2014/main" id="{F171D4E3-751B-483E-853B-7EE1B9CA4E7D}"/>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05" name="Text Box 50">
          <a:extLst>
            <a:ext uri="{FF2B5EF4-FFF2-40B4-BE49-F238E27FC236}">
              <a16:creationId xmlns="" xmlns:a16="http://schemas.microsoft.com/office/drawing/2014/main" id="{A9F0576F-42E3-4F22-A150-A98A3295249A}"/>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06" name="Text Box 70">
          <a:extLst>
            <a:ext uri="{FF2B5EF4-FFF2-40B4-BE49-F238E27FC236}">
              <a16:creationId xmlns="" xmlns:a16="http://schemas.microsoft.com/office/drawing/2014/main" id="{EC3CDA5C-F7E8-4771-A6A9-69CF11951D35}"/>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07" name="Text Box 71">
          <a:extLst>
            <a:ext uri="{FF2B5EF4-FFF2-40B4-BE49-F238E27FC236}">
              <a16:creationId xmlns="" xmlns:a16="http://schemas.microsoft.com/office/drawing/2014/main" id="{A57E1CF9-9159-4528-9C2C-7283AE8C7D8D}"/>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08" name="Text Box 83">
          <a:extLst>
            <a:ext uri="{FF2B5EF4-FFF2-40B4-BE49-F238E27FC236}">
              <a16:creationId xmlns="" xmlns:a16="http://schemas.microsoft.com/office/drawing/2014/main" id="{61635F33-AB01-411F-9AD6-CCD868D9E947}"/>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09" name="Text Box 84">
          <a:extLst>
            <a:ext uri="{FF2B5EF4-FFF2-40B4-BE49-F238E27FC236}">
              <a16:creationId xmlns="" xmlns:a16="http://schemas.microsoft.com/office/drawing/2014/main" id="{EF7B5850-AA78-44D5-BC92-95A9ED179283}"/>
            </a:ext>
          </a:extLst>
        </xdr:cNvPr>
        <xdr:cNvSpPr txBox="1">
          <a:spLocks noChangeArrowheads="1"/>
        </xdr:cNvSpPr>
      </xdr:nvSpPr>
      <xdr:spPr bwMode="auto">
        <a:xfrm>
          <a:off x="10531929" y="356166964"/>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279</xdr:row>
      <xdr:rowOff>119743</xdr:rowOff>
    </xdr:from>
    <xdr:ext cx="370115" cy="533400"/>
    <xdr:sp macro="" textlink="">
      <xdr:nvSpPr>
        <xdr:cNvPr id="1810" name="Text Box 85">
          <a:extLst>
            <a:ext uri="{FF2B5EF4-FFF2-40B4-BE49-F238E27FC236}">
              <a16:creationId xmlns="" xmlns:a16="http://schemas.microsoft.com/office/drawing/2014/main" id="{5ADCB59A-CFBC-40EA-AA0B-016A7DEDCBF9}"/>
            </a:ext>
          </a:extLst>
        </xdr:cNvPr>
        <xdr:cNvSpPr txBox="1">
          <a:spLocks noChangeArrowheads="1"/>
        </xdr:cNvSpPr>
      </xdr:nvSpPr>
      <xdr:spPr bwMode="auto">
        <a:xfrm flipH="1" flipV="1">
          <a:off x="13813970" y="419840229"/>
          <a:ext cx="370115"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195942</xdr:rowOff>
    </xdr:from>
    <xdr:ext cx="45719" cy="598715"/>
    <xdr:sp macro="" textlink="">
      <xdr:nvSpPr>
        <xdr:cNvPr id="1815" name="Text Box 804">
          <a:extLst>
            <a:ext uri="{FF2B5EF4-FFF2-40B4-BE49-F238E27FC236}">
              <a16:creationId xmlns="" xmlns:a16="http://schemas.microsoft.com/office/drawing/2014/main" id="{AE441390-0495-447B-A6C9-1EE40BD056C7}"/>
            </a:ext>
          </a:extLst>
        </xdr:cNvPr>
        <xdr:cNvSpPr txBox="1">
          <a:spLocks noChangeArrowheads="1"/>
        </xdr:cNvSpPr>
      </xdr:nvSpPr>
      <xdr:spPr bwMode="auto">
        <a:xfrm flipH="1" flipV="1">
          <a:off x="14053456" y="419263285"/>
          <a:ext cx="45719" cy="59871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16" name="Text Box 47">
          <a:extLst>
            <a:ext uri="{FF2B5EF4-FFF2-40B4-BE49-F238E27FC236}">
              <a16:creationId xmlns="" xmlns:a16="http://schemas.microsoft.com/office/drawing/2014/main" id="{2244BEA9-186A-400F-AF82-72953BDEA733}"/>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17" name="Text Box 48">
          <a:extLst>
            <a:ext uri="{FF2B5EF4-FFF2-40B4-BE49-F238E27FC236}">
              <a16:creationId xmlns="" xmlns:a16="http://schemas.microsoft.com/office/drawing/2014/main" id="{D6F1A202-5055-483C-BFCD-11D7032055F0}"/>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18" name="Text Box 49">
          <a:extLst>
            <a:ext uri="{FF2B5EF4-FFF2-40B4-BE49-F238E27FC236}">
              <a16:creationId xmlns="" xmlns:a16="http://schemas.microsoft.com/office/drawing/2014/main" id="{55643249-B0DF-43F8-B9CF-F89393138FE9}"/>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19" name="Text Box 50">
          <a:extLst>
            <a:ext uri="{FF2B5EF4-FFF2-40B4-BE49-F238E27FC236}">
              <a16:creationId xmlns="" xmlns:a16="http://schemas.microsoft.com/office/drawing/2014/main" id="{7E217FD1-9903-4A22-9CBB-33F19CDE12EF}"/>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20" name="Text Box 70">
          <a:extLst>
            <a:ext uri="{FF2B5EF4-FFF2-40B4-BE49-F238E27FC236}">
              <a16:creationId xmlns="" xmlns:a16="http://schemas.microsoft.com/office/drawing/2014/main" id="{4ED1F15E-C320-4CE5-8B72-90986D3802ED}"/>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21" name="Text Box 71">
          <a:extLst>
            <a:ext uri="{FF2B5EF4-FFF2-40B4-BE49-F238E27FC236}">
              <a16:creationId xmlns="" xmlns:a16="http://schemas.microsoft.com/office/drawing/2014/main" id="{C699DF1E-80B4-46CF-B124-CF67F9A0E54B}"/>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22" name="Text Box 83">
          <a:extLst>
            <a:ext uri="{FF2B5EF4-FFF2-40B4-BE49-F238E27FC236}">
              <a16:creationId xmlns="" xmlns:a16="http://schemas.microsoft.com/office/drawing/2014/main" id="{9982F89E-B2BB-44AD-B492-52FA8A9B46F0}"/>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23" name="Text Box 84">
          <a:extLst>
            <a:ext uri="{FF2B5EF4-FFF2-40B4-BE49-F238E27FC236}">
              <a16:creationId xmlns="" xmlns:a16="http://schemas.microsoft.com/office/drawing/2014/main" id="{C9D28BF8-C1CA-4DD1-9363-064F5EA32A52}"/>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24" name="Text Box 85">
          <a:extLst>
            <a:ext uri="{FF2B5EF4-FFF2-40B4-BE49-F238E27FC236}">
              <a16:creationId xmlns="" xmlns:a16="http://schemas.microsoft.com/office/drawing/2014/main" id="{A658B72E-208A-4CE8-BE4F-908664A9B1EB}"/>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25" name="Text Box 86">
          <a:extLst>
            <a:ext uri="{FF2B5EF4-FFF2-40B4-BE49-F238E27FC236}">
              <a16:creationId xmlns="" xmlns:a16="http://schemas.microsoft.com/office/drawing/2014/main" id="{5728D7C9-2829-46BB-A52E-46C97CB0D554}"/>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26" name="Text Box 93">
          <a:extLst>
            <a:ext uri="{FF2B5EF4-FFF2-40B4-BE49-F238E27FC236}">
              <a16:creationId xmlns="" xmlns:a16="http://schemas.microsoft.com/office/drawing/2014/main" id="{FF348ED6-A3D6-47E4-8527-22A2440974A2}"/>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27" name="Text Box 94">
          <a:extLst>
            <a:ext uri="{FF2B5EF4-FFF2-40B4-BE49-F238E27FC236}">
              <a16:creationId xmlns="" xmlns:a16="http://schemas.microsoft.com/office/drawing/2014/main" id="{C38B1C52-17B2-49BF-AFA6-FA10FF10E8EE}"/>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257175" cy="161925"/>
    <xdr:sp macro="" textlink="">
      <xdr:nvSpPr>
        <xdr:cNvPr id="1828" name="Text Box 804">
          <a:extLst>
            <a:ext uri="{FF2B5EF4-FFF2-40B4-BE49-F238E27FC236}">
              <a16:creationId xmlns="" xmlns:a16="http://schemas.microsoft.com/office/drawing/2014/main" id="{C935F5EA-C927-4A93-A1CD-D3BCABC55A43}"/>
            </a:ext>
          </a:extLst>
        </xdr:cNvPr>
        <xdr:cNvSpPr txBox="1">
          <a:spLocks noChangeArrowheads="1"/>
        </xdr:cNvSpPr>
      </xdr:nvSpPr>
      <xdr:spPr bwMode="auto">
        <a:xfrm>
          <a:off x="13307786" y="379544036"/>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257175" cy="152400"/>
    <xdr:sp macro="" textlink="">
      <xdr:nvSpPr>
        <xdr:cNvPr id="1829" name="Text Box 804">
          <a:extLst>
            <a:ext uri="{FF2B5EF4-FFF2-40B4-BE49-F238E27FC236}">
              <a16:creationId xmlns="" xmlns:a16="http://schemas.microsoft.com/office/drawing/2014/main" id="{07B2619B-EC10-4D96-93CE-81D5D1D6B7A3}"/>
            </a:ext>
          </a:extLst>
        </xdr:cNvPr>
        <xdr:cNvSpPr txBox="1">
          <a:spLocks noChangeArrowheads="1"/>
        </xdr:cNvSpPr>
      </xdr:nvSpPr>
      <xdr:spPr bwMode="auto">
        <a:xfrm>
          <a:off x="13307786" y="379544036"/>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0" name="Text Box 47">
          <a:extLst>
            <a:ext uri="{FF2B5EF4-FFF2-40B4-BE49-F238E27FC236}">
              <a16:creationId xmlns="" xmlns:a16="http://schemas.microsoft.com/office/drawing/2014/main" id="{9C2BB58D-E2A3-47AC-A7DE-53846C412453}"/>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1" name="Text Box 48">
          <a:extLst>
            <a:ext uri="{FF2B5EF4-FFF2-40B4-BE49-F238E27FC236}">
              <a16:creationId xmlns="" xmlns:a16="http://schemas.microsoft.com/office/drawing/2014/main" id="{BDA9357A-8AE6-4908-A2D0-B69C624968BB}"/>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2" name="Text Box 49">
          <a:extLst>
            <a:ext uri="{FF2B5EF4-FFF2-40B4-BE49-F238E27FC236}">
              <a16:creationId xmlns="" xmlns:a16="http://schemas.microsoft.com/office/drawing/2014/main" id="{8DD48065-AAE0-4620-8EA5-C279961F0D6C}"/>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3" name="Text Box 50">
          <a:extLst>
            <a:ext uri="{FF2B5EF4-FFF2-40B4-BE49-F238E27FC236}">
              <a16:creationId xmlns="" xmlns:a16="http://schemas.microsoft.com/office/drawing/2014/main" id="{BFE46CB0-BAE5-4672-ADA7-E67F3309255C}"/>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4" name="Text Box 70">
          <a:extLst>
            <a:ext uri="{FF2B5EF4-FFF2-40B4-BE49-F238E27FC236}">
              <a16:creationId xmlns="" xmlns:a16="http://schemas.microsoft.com/office/drawing/2014/main" id="{DF80D6EE-504F-48F0-B5DF-395DFF2FA943}"/>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5" name="Text Box 71">
          <a:extLst>
            <a:ext uri="{FF2B5EF4-FFF2-40B4-BE49-F238E27FC236}">
              <a16:creationId xmlns="" xmlns:a16="http://schemas.microsoft.com/office/drawing/2014/main" id="{B6615359-0B93-4E0D-BB73-56E7C58656F2}"/>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6" name="Text Box 83">
          <a:extLst>
            <a:ext uri="{FF2B5EF4-FFF2-40B4-BE49-F238E27FC236}">
              <a16:creationId xmlns="" xmlns:a16="http://schemas.microsoft.com/office/drawing/2014/main" id="{9FB42A45-6A59-4C36-9A49-754F93CF683B}"/>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7" name="Text Box 84">
          <a:extLst>
            <a:ext uri="{FF2B5EF4-FFF2-40B4-BE49-F238E27FC236}">
              <a16:creationId xmlns="" xmlns:a16="http://schemas.microsoft.com/office/drawing/2014/main" id="{5E7E8357-8B53-4D60-BBC8-B6156EE88461}"/>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8" name="Text Box 85">
          <a:extLst>
            <a:ext uri="{FF2B5EF4-FFF2-40B4-BE49-F238E27FC236}">
              <a16:creationId xmlns="" xmlns:a16="http://schemas.microsoft.com/office/drawing/2014/main" id="{A56E4658-AC59-4FDA-AEA2-3A5493852BAB}"/>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39" name="Text Box 86">
          <a:extLst>
            <a:ext uri="{FF2B5EF4-FFF2-40B4-BE49-F238E27FC236}">
              <a16:creationId xmlns="" xmlns:a16="http://schemas.microsoft.com/office/drawing/2014/main" id="{C86DFEF8-5FD8-4AAC-9283-E8BA65C422DD}"/>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40" name="Text Box 93">
          <a:extLst>
            <a:ext uri="{FF2B5EF4-FFF2-40B4-BE49-F238E27FC236}">
              <a16:creationId xmlns="" xmlns:a16="http://schemas.microsoft.com/office/drawing/2014/main" id="{F6544061-B822-460D-A8A1-6E53565D8481}"/>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41" name="Text Box 94">
          <a:extLst>
            <a:ext uri="{FF2B5EF4-FFF2-40B4-BE49-F238E27FC236}">
              <a16:creationId xmlns="" xmlns:a16="http://schemas.microsoft.com/office/drawing/2014/main" id="{69229E40-A972-43FF-833A-81618554073F}"/>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257175" cy="161925"/>
    <xdr:sp macro="" textlink="">
      <xdr:nvSpPr>
        <xdr:cNvPr id="1842" name="Text Box 804">
          <a:extLst>
            <a:ext uri="{FF2B5EF4-FFF2-40B4-BE49-F238E27FC236}">
              <a16:creationId xmlns="" xmlns:a16="http://schemas.microsoft.com/office/drawing/2014/main" id="{90DE3CAC-9F52-4796-92FB-834E81E86E02}"/>
            </a:ext>
          </a:extLst>
        </xdr:cNvPr>
        <xdr:cNvSpPr txBox="1">
          <a:spLocks noChangeArrowheads="1"/>
        </xdr:cNvSpPr>
      </xdr:nvSpPr>
      <xdr:spPr bwMode="auto">
        <a:xfrm>
          <a:off x="13307786" y="379544036"/>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257175" cy="152400"/>
    <xdr:sp macro="" textlink="">
      <xdr:nvSpPr>
        <xdr:cNvPr id="1843" name="Text Box 804">
          <a:extLst>
            <a:ext uri="{FF2B5EF4-FFF2-40B4-BE49-F238E27FC236}">
              <a16:creationId xmlns="" xmlns:a16="http://schemas.microsoft.com/office/drawing/2014/main" id="{EB057FAE-FC71-49DE-A3F3-2618A95D7A19}"/>
            </a:ext>
          </a:extLst>
        </xdr:cNvPr>
        <xdr:cNvSpPr txBox="1">
          <a:spLocks noChangeArrowheads="1"/>
        </xdr:cNvSpPr>
      </xdr:nvSpPr>
      <xdr:spPr bwMode="auto">
        <a:xfrm>
          <a:off x="13307786" y="379544036"/>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44" name="Text Box 47">
          <a:extLst>
            <a:ext uri="{FF2B5EF4-FFF2-40B4-BE49-F238E27FC236}">
              <a16:creationId xmlns="" xmlns:a16="http://schemas.microsoft.com/office/drawing/2014/main" id="{07B9C20B-76A2-45DD-BDA9-07D1A4E0B87A}"/>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45" name="Text Box 48">
          <a:extLst>
            <a:ext uri="{FF2B5EF4-FFF2-40B4-BE49-F238E27FC236}">
              <a16:creationId xmlns="" xmlns:a16="http://schemas.microsoft.com/office/drawing/2014/main" id="{FD07EF6F-017B-40E0-A889-62C886F7CDE8}"/>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46" name="Text Box 49">
          <a:extLst>
            <a:ext uri="{FF2B5EF4-FFF2-40B4-BE49-F238E27FC236}">
              <a16:creationId xmlns="" xmlns:a16="http://schemas.microsoft.com/office/drawing/2014/main" id="{BEA169D7-88F8-40B4-B018-008E7BF1968A}"/>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47" name="Text Box 50">
          <a:extLst>
            <a:ext uri="{FF2B5EF4-FFF2-40B4-BE49-F238E27FC236}">
              <a16:creationId xmlns="" xmlns:a16="http://schemas.microsoft.com/office/drawing/2014/main" id="{3D011168-544C-4B4B-87C3-77B6328DD4A7}"/>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48" name="Text Box 70">
          <a:extLst>
            <a:ext uri="{FF2B5EF4-FFF2-40B4-BE49-F238E27FC236}">
              <a16:creationId xmlns="" xmlns:a16="http://schemas.microsoft.com/office/drawing/2014/main" id="{016E3D40-2121-4072-874F-ED5E221C53CC}"/>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49" name="Text Box 71">
          <a:extLst>
            <a:ext uri="{FF2B5EF4-FFF2-40B4-BE49-F238E27FC236}">
              <a16:creationId xmlns="" xmlns:a16="http://schemas.microsoft.com/office/drawing/2014/main" id="{DB38256C-11D2-44E0-BCA9-92484CDC1423}"/>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50" name="Text Box 83">
          <a:extLst>
            <a:ext uri="{FF2B5EF4-FFF2-40B4-BE49-F238E27FC236}">
              <a16:creationId xmlns="" xmlns:a16="http://schemas.microsoft.com/office/drawing/2014/main" id="{A93B6DF5-A15B-436C-AC2E-94BFA9562679}"/>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51" name="Text Box 84">
          <a:extLst>
            <a:ext uri="{FF2B5EF4-FFF2-40B4-BE49-F238E27FC236}">
              <a16:creationId xmlns="" xmlns:a16="http://schemas.microsoft.com/office/drawing/2014/main" id="{A960E528-A1BA-4958-A04A-4B96C0F0D436}"/>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52" name="Text Box 85">
          <a:extLst>
            <a:ext uri="{FF2B5EF4-FFF2-40B4-BE49-F238E27FC236}">
              <a16:creationId xmlns="" xmlns:a16="http://schemas.microsoft.com/office/drawing/2014/main" id="{FA33F556-E7EA-4DF3-B830-D4E74F09D063}"/>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53" name="Text Box 86">
          <a:extLst>
            <a:ext uri="{FF2B5EF4-FFF2-40B4-BE49-F238E27FC236}">
              <a16:creationId xmlns="" xmlns:a16="http://schemas.microsoft.com/office/drawing/2014/main" id="{6894F42B-80A2-4D1B-A132-923D401ED752}"/>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54" name="Text Box 93">
          <a:extLst>
            <a:ext uri="{FF2B5EF4-FFF2-40B4-BE49-F238E27FC236}">
              <a16:creationId xmlns="" xmlns:a16="http://schemas.microsoft.com/office/drawing/2014/main" id="{5B0526C8-5B33-43BD-BC16-1C6ACA3DEADC}"/>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55" name="Text Box 94">
          <a:extLst>
            <a:ext uri="{FF2B5EF4-FFF2-40B4-BE49-F238E27FC236}">
              <a16:creationId xmlns="" xmlns:a16="http://schemas.microsoft.com/office/drawing/2014/main" id="{E2C9B409-136B-459A-8CAF-8DE0993E65C6}"/>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61925"/>
    <xdr:sp macro="" textlink="">
      <xdr:nvSpPr>
        <xdr:cNvPr id="1856" name="Text Box 804">
          <a:extLst>
            <a:ext uri="{FF2B5EF4-FFF2-40B4-BE49-F238E27FC236}">
              <a16:creationId xmlns="" xmlns:a16="http://schemas.microsoft.com/office/drawing/2014/main" id="{01238381-17E1-40FA-AFFC-BABCA7374175}"/>
            </a:ext>
          </a:extLst>
        </xdr:cNvPr>
        <xdr:cNvSpPr txBox="1">
          <a:spLocks noChangeArrowheads="1"/>
        </xdr:cNvSpPr>
      </xdr:nvSpPr>
      <xdr:spPr bwMode="auto">
        <a:xfrm>
          <a:off x="13307786" y="379544036"/>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52400"/>
    <xdr:sp macro="" textlink="">
      <xdr:nvSpPr>
        <xdr:cNvPr id="1857" name="Text Box 804">
          <a:extLst>
            <a:ext uri="{FF2B5EF4-FFF2-40B4-BE49-F238E27FC236}">
              <a16:creationId xmlns="" xmlns:a16="http://schemas.microsoft.com/office/drawing/2014/main" id="{576F0C76-B0B6-4467-AFCD-0986645DD754}"/>
            </a:ext>
          </a:extLst>
        </xdr:cNvPr>
        <xdr:cNvSpPr txBox="1">
          <a:spLocks noChangeArrowheads="1"/>
        </xdr:cNvSpPr>
      </xdr:nvSpPr>
      <xdr:spPr bwMode="auto">
        <a:xfrm>
          <a:off x="13307786" y="379544036"/>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58" name="Text Box 47">
          <a:extLst>
            <a:ext uri="{FF2B5EF4-FFF2-40B4-BE49-F238E27FC236}">
              <a16:creationId xmlns="" xmlns:a16="http://schemas.microsoft.com/office/drawing/2014/main" id="{6242589F-EBC6-4A2D-B504-F17EF9246C4D}"/>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59" name="Text Box 48">
          <a:extLst>
            <a:ext uri="{FF2B5EF4-FFF2-40B4-BE49-F238E27FC236}">
              <a16:creationId xmlns="" xmlns:a16="http://schemas.microsoft.com/office/drawing/2014/main" id="{F83A14B5-7BB1-4F69-9417-D26622ABD912}"/>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0" name="Text Box 49">
          <a:extLst>
            <a:ext uri="{FF2B5EF4-FFF2-40B4-BE49-F238E27FC236}">
              <a16:creationId xmlns="" xmlns:a16="http://schemas.microsoft.com/office/drawing/2014/main" id="{5DFB4D5B-578D-4FCC-9C4A-B9344281EC4F}"/>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1" name="Text Box 50">
          <a:extLst>
            <a:ext uri="{FF2B5EF4-FFF2-40B4-BE49-F238E27FC236}">
              <a16:creationId xmlns="" xmlns:a16="http://schemas.microsoft.com/office/drawing/2014/main" id="{B23EF233-EDE6-424F-BA35-019D5033EA0B}"/>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2" name="Text Box 70">
          <a:extLst>
            <a:ext uri="{FF2B5EF4-FFF2-40B4-BE49-F238E27FC236}">
              <a16:creationId xmlns="" xmlns:a16="http://schemas.microsoft.com/office/drawing/2014/main" id="{FBCE442D-4BA6-4B44-9046-B85094410425}"/>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3" name="Text Box 71">
          <a:extLst>
            <a:ext uri="{FF2B5EF4-FFF2-40B4-BE49-F238E27FC236}">
              <a16:creationId xmlns="" xmlns:a16="http://schemas.microsoft.com/office/drawing/2014/main" id="{2B2C80CB-AB8E-4BDD-A21F-ED5C1E4C0E85}"/>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4" name="Text Box 83">
          <a:extLst>
            <a:ext uri="{FF2B5EF4-FFF2-40B4-BE49-F238E27FC236}">
              <a16:creationId xmlns="" xmlns:a16="http://schemas.microsoft.com/office/drawing/2014/main" id="{4BEA72CF-5DCC-4562-AEAD-E222CBA73DB2}"/>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5" name="Text Box 84">
          <a:extLst>
            <a:ext uri="{FF2B5EF4-FFF2-40B4-BE49-F238E27FC236}">
              <a16:creationId xmlns="" xmlns:a16="http://schemas.microsoft.com/office/drawing/2014/main" id="{D9BC8824-7FD2-4CC6-92E8-33B033D2510E}"/>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6" name="Text Box 85">
          <a:extLst>
            <a:ext uri="{FF2B5EF4-FFF2-40B4-BE49-F238E27FC236}">
              <a16:creationId xmlns="" xmlns:a16="http://schemas.microsoft.com/office/drawing/2014/main" id="{B0C453FB-5C5E-4ECA-99DB-CF1ED39A5714}"/>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7" name="Text Box 86">
          <a:extLst>
            <a:ext uri="{FF2B5EF4-FFF2-40B4-BE49-F238E27FC236}">
              <a16:creationId xmlns="" xmlns:a16="http://schemas.microsoft.com/office/drawing/2014/main" id="{762DDA4D-F471-490D-B170-AF2970F109CC}"/>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8" name="Text Box 93">
          <a:extLst>
            <a:ext uri="{FF2B5EF4-FFF2-40B4-BE49-F238E27FC236}">
              <a16:creationId xmlns="" xmlns:a16="http://schemas.microsoft.com/office/drawing/2014/main" id="{86C26825-25D7-4D6E-90E7-E4BF490DCC7E}"/>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869" name="Text Box 94">
          <a:extLst>
            <a:ext uri="{FF2B5EF4-FFF2-40B4-BE49-F238E27FC236}">
              <a16:creationId xmlns="" xmlns:a16="http://schemas.microsoft.com/office/drawing/2014/main" id="{3250C1DA-D7C5-4AA4-B9FB-56F6BD6FBAD2}"/>
            </a:ext>
          </a:extLst>
        </xdr:cNvPr>
        <xdr:cNvSpPr txBox="1">
          <a:spLocks noChangeArrowheads="1"/>
        </xdr:cNvSpPr>
      </xdr:nvSpPr>
      <xdr:spPr bwMode="auto">
        <a:xfrm>
          <a:off x="13307786" y="379544036"/>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61925"/>
    <xdr:sp macro="" textlink="">
      <xdr:nvSpPr>
        <xdr:cNvPr id="1870" name="Text Box 804">
          <a:extLst>
            <a:ext uri="{FF2B5EF4-FFF2-40B4-BE49-F238E27FC236}">
              <a16:creationId xmlns="" xmlns:a16="http://schemas.microsoft.com/office/drawing/2014/main" id="{73497493-ACE3-49B0-874B-750E0FCDB2C4}"/>
            </a:ext>
          </a:extLst>
        </xdr:cNvPr>
        <xdr:cNvSpPr txBox="1">
          <a:spLocks noChangeArrowheads="1"/>
        </xdr:cNvSpPr>
      </xdr:nvSpPr>
      <xdr:spPr bwMode="auto">
        <a:xfrm>
          <a:off x="13307786" y="379544036"/>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52400"/>
    <xdr:sp macro="" textlink="">
      <xdr:nvSpPr>
        <xdr:cNvPr id="1871" name="Text Box 804">
          <a:extLst>
            <a:ext uri="{FF2B5EF4-FFF2-40B4-BE49-F238E27FC236}">
              <a16:creationId xmlns="" xmlns:a16="http://schemas.microsoft.com/office/drawing/2014/main" id="{89B68D4E-ECA9-4CC3-93C6-2F7D8FE7BEFB}"/>
            </a:ext>
          </a:extLst>
        </xdr:cNvPr>
        <xdr:cNvSpPr txBox="1">
          <a:spLocks noChangeArrowheads="1"/>
        </xdr:cNvSpPr>
      </xdr:nvSpPr>
      <xdr:spPr bwMode="auto">
        <a:xfrm>
          <a:off x="13307786" y="379544036"/>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72" name="Text Box 47">
          <a:extLst>
            <a:ext uri="{FF2B5EF4-FFF2-40B4-BE49-F238E27FC236}">
              <a16:creationId xmlns="" xmlns:a16="http://schemas.microsoft.com/office/drawing/2014/main" id="{88620C95-7E8F-432D-9DFD-2FA2DC1D11BF}"/>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73" name="Text Box 48">
          <a:extLst>
            <a:ext uri="{FF2B5EF4-FFF2-40B4-BE49-F238E27FC236}">
              <a16:creationId xmlns="" xmlns:a16="http://schemas.microsoft.com/office/drawing/2014/main" id="{612D20DF-2CFE-4D49-BAF9-3BFB8F76C04E}"/>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74" name="Text Box 49">
          <a:extLst>
            <a:ext uri="{FF2B5EF4-FFF2-40B4-BE49-F238E27FC236}">
              <a16:creationId xmlns="" xmlns:a16="http://schemas.microsoft.com/office/drawing/2014/main" id="{5922265E-3EC2-4E50-A594-E66B92FE7CBF}"/>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75" name="Text Box 50">
          <a:extLst>
            <a:ext uri="{FF2B5EF4-FFF2-40B4-BE49-F238E27FC236}">
              <a16:creationId xmlns="" xmlns:a16="http://schemas.microsoft.com/office/drawing/2014/main" id="{33A93ACE-9821-4D8B-8163-07171DD3AC16}"/>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76" name="Text Box 70">
          <a:extLst>
            <a:ext uri="{FF2B5EF4-FFF2-40B4-BE49-F238E27FC236}">
              <a16:creationId xmlns="" xmlns:a16="http://schemas.microsoft.com/office/drawing/2014/main" id="{19B1858F-F00C-433A-891B-87FA4FB3C5A3}"/>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77" name="Text Box 71">
          <a:extLst>
            <a:ext uri="{FF2B5EF4-FFF2-40B4-BE49-F238E27FC236}">
              <a16:creationId xmlns="" xmlns:a16="http://schemas.microsoft.com/office/drawing/2014/main" id="{CAA905A3-A4D1-4E9B-B0E5-B59DB6592746}"/>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78" name="Text Box 83">
          <a:extLst>
            <a:ext uri="{FF2B5EF4-FFF2-40B4-BE49-F238E27FC236}">
              <a16:creationId xmlns="" xmlns:a16="http://schemas.microsoft.com/office/drawing/2014/main" id="{425F2E76-3765-4B7F-9E32-D7CFAB10C4F7}"/>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79" name="Text Box 84">
          <a:extLst>
            <a:ext uri="{FF2B5EF4-FFF2-40B4-BE49-F238E27FC236}">
              <a16:creationId xmlns="" xmlns:a16="http://schemas.microsoft.com/office/drawing/2014/main" id="{18CA7C9B-B9DC-4DAE-9BC6-D51DB74065A2}"/>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80" name="Text Box 85">
          <a:extLst>
            <a:ext uri="{FF2B5EF4-FFF2-40B4-BE49-F238E27FC236}">
              <a16:creationId xmlns="" xmlns:a16="http://schemas.microsoft.com/office/drawing/2014/main" id="{AECC352A-9A07-4B90-9965-B81F6BE32D83}"/>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81" name="Text Box 86">
          <a:extLst>
            <a:ext uri="{FF2B5EF4-FFF2-40B4-BE49-F238E27FC236}">
              <a16:creationId xmlns="" xmlns:a16="http://schemas.microsoft.com/office/drawing/2014/main" id="{39F05E89-4AE9-4010-B283-7578B7DE0A5B}"/>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82" name="Text Box 93">
          <a:extLst>
            <a:ext uri="{FF2B5EF4-FFF2-40B4-BE49-F238E27FC236}">
              <a16:creationId xmlns="" xmlns:a16="http://schemas.microsoft.com/office/drawing/2014/main" id="{157EF85F-5045-434F-8F7D-07AA3E85E2E9}"/>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83" name="Text Box 94">
          <a:extLst>
            <a:ext uri="{FF2B5EF4-FFF2-40B4-BE49-F238E27FC236}">
              <a16:creationId xmlns="" xmlns:a16="http://schemas.microsoft.com/office/drawing/2014/main" id="{B12A2C6D-FF10-48D8-B18B-E343A50DCAA6}"/>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257175" cy="161925"/>
    <xdr:sp macro="" textlink="">
      <xdr:nvSpPr>
        <xdr:cNvPr id="1884" name="Text Box 804">
          <a:extLst>
            <a:ext uri="{FF2B5EF4-FFF2-40B4-BE49-F238E27FC236}">
              <a16:creationId xmlns="" xmlns:a16="http://schemas.microsoft.com/office/drawing/2014/main" id="{F309DEB2-1184-450F-AC10-DA3907343C2B}"/>
            </a:ext>
          </a:extLst>
        </xdr:cNvPr>
        <xdr:cNvSpPr txBox="1">
          <a:spLocks noChangeArrowheads="1"/>
        </xdr:cNvSpPr>
      </xdr:nvSpPr>
      <xdr:spPr bwMode="auto">
        <a:xfrm>
          <a:off x="13307786" y="380183571"/>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257175" cy="152400"/>
    <xdr:sp macro="" textlink="">
      <xdr:nvSpPr>
        <xdr:cNvPr id="1885" name="Text Box 804">
          <a:extLst>
            <a:ext uri="{FF2B5EF4-FFF2-40B4-BE49-F238E27FC236}">
              <a16:creationId xmlns="" xmlns:a16="http://schemas.microsoft.com/office/drawing/2014/main" id="{2268F95F-BE9B-4C13-B7B1-77628E8FBF4E}"/>
            </a:ext>
          </a:extLst>
        </xdr:cNvPr>
        <xdr:cNvSpPr txBox="1">
          <a:spLocks noChangeArrowheads="1"/>
        </xdr:cNvSpPr>
      </xdr:nvSpPr>
      <xdr:spPr bwMode="auto">
        <a:xfrm>
          <a:off x="13307786" y="380183571"/>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86" name="Text Box 47">
          <a:extLst>
            <a:ext uri="{FF2B5EF4-FFF2-40B4-BE49-F238E27FC236}">
              <a16:creationId xmlns="" xmlns:a16="http://schemas.microsoft.com/office/drawing/2014/main" id="{EC9599A6-DA59-4F08-AB18-13CBE639D91C}"/>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87" name="Text Box 48">
          <a:extLst>
            <a:ext uri="{FF2B5EF4-FFF2-40B4-BE49-F238E27FC236}">
              <a16:creationId xmlns="" xmlns:a16="http://schemas.microsoft.com/office/drawing/2014/main" id="{4F9EA849-19C8-4C02-B503-CD7B246243D3}"/>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88" name="Text Box 49">
          <a:extLst>
            <a:ext uri="{FF2B5EF4-FFF2-40B4-BE49-F238E27FC236}">
              <a16:creationId xmlns="" xmlns:a16="http://schemas.microsoft.com/office/drawing/2014/main" id="{7B3E2069-BF58-49BD-97AF-412BC12C57B3}"/>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89" name="Text Box 50">
          <a:extLst>
            <a:ext uri="{FF2B5EF4-FFF2-40B4-BE49-F238E27FC236}">
              <a16:creationId xmlns="" xmlns:a16="http://schemas.microsoft.com/office/drawing/2014/main" id="{B830EB73-35A5-47A8-88AB-6480AF113E82}"/>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90" name="Text Box 70">
          <a:extLst>
            <a:ext uri="{FF2B5EF4-FFF2-40B4-BE49-F238E27FC236}">
              <a16:creationId xmlns="" xmlns:a16="http://schemas.microsoft.com/office/drawing/2014/main" id="{292BE22B-9870-4D89-BC29-E04B29358AE6}"/>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91" name="Text Box 71">
          <a:extLst>
            <a:ext uri="{FF2B5EF4-FFF2-40B4-BE49-F238E27FC236}">
              <a16:creationId xmlns="" xmlns:a16="http://schemas.microsoft.com/office/drawing/2014/main" id="{4B4C86FA-51F9-4953-A0D7-72AB4B9C0327}"/>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92" name="Text Box 83">
          <a:extLst>
            <a:ext uri="{FF2B5EF4-FFF2-40B4-BE49-F238E27FC236}">
              <a16:creationId xmlns="" xmlns:a16="http://schemas.microsoft.com/office/drawing/2014/main" id="{F9983F22-AA58-4A39-BCE8-A8B7A9C276EA}"/>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93" name="Text Box 84">
          <a:extLst>
            <a:ext uri="{FF2B5EF4-FFF2-40B4-BE49-F238E27FC236}">
              <a16:creationId xmlns="" xmlns:a16="http://schemas.microsoft.com/office/drawing/2014/main" id="{C88013CB-5484-4F13-B05E-08C3858C10B9}"/>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94" name="Text Box 85">
          <a:extLst>
            <a:ext uri="{FF2B5EF4-FFF2-40B4-BE49-F238E27FC236}">
              <a16:creationId xmlns="" xmlns:a16="http://schemas.microsoft.com/office/drawing/2014/main" id="{616CC882-8671-452C-AB4B-4502B81631A9}"/>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95" name="Text Box 86">
          <a:extLst>
            <a:ext uri="{FF2B5EF4-FFF2-40B4-BE49-F238E27FC236}">
              <a16:creationId xmlns="" xmlns:a16="http://schemas.microsoft.com/office/drawing/2014/main" id="{D8576997-4595-489C-9F6E-9E02E3E17369}"/>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96" name="Text Box 93">
          <a:extLst>
            <a:ext uri="{FF2B5EF4-FFF2-40B4-BE49-F238E27FC236}">
              <a16:creationId xmlns="" xmlns:a16="http://schemas.microsoft.com/office/drawing/2014/main" id="{0AD610FD-E67C-463D-BF24-7E190B1A1669}"/>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76200" cy="223157"/>
    <xdr:sp macro="" textlink="">
      <xdr:nvSpPr>
        <xdr:cNvPr id="1897" name="Text Box 94">
          <a:extLst>
            <a:ext uri="{FF2B5EF4-FFF2-40B4-BE49-F238E27FC236}">
              <a16:creationId xmlns="" xmlns:a16="http://schemas.microsoft.com/office/drawing/2014/main" id="{645C8B0D-4F49-4FE3-9291-975D6F2988B7}"/>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257175" cy="161925"/>
    <xdr:sp macro="" textlink="">
      <xdr:nvSpPr>
        <xdr:cNvPr id="1898" name="Text Box 804">
          <a:extLst>
            <a:ext uri="{FF2B5EF4-FFF2-40B4-BE49-F238E27FC236}">
              <a16:creationId xmlns="" xmlns:a16="http://schemas.microsoft.com/office/drawing/2014/main" id="{ECDF236A-3B89-40CB-AB3A-5CE8BD7DB405}"/>
            </a:ext>
          </a:extLst>
        </xdr:cNvPr>
        <xdr:cNvSpPr txBox="1">
          <a:spLocks noChangeArrowheads="1"/>
        </xdr:cNvSpPr>
      </xdr:nvSpPr>
      <xdr:spPr bwMode="auto">
        <a:xfrm>
          <a:off x="13307786" y="380183571"/>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0</xdr:colOff>
      <xdr:row>276</xdr:row>
      <xdr:rowOff>0</xdr:rowOff>
    </xdr:from>
    <xdr:ext cx="257175" cy="152400"/>
    <xdr:sp macro="" textlink="">
      <xdr:nvSpPr>
        <xdr:cNvPr id="1899" name="Text Box 804">
          <a:extLst>
            <a:ext uri="{FF2B5EF4-FFF2-40B4-BE49-F238E27FC236}">
              <a16:creationId xmlns="" xmlns:a16="http://schemas.microsoft.com/office/drawing/2014/main" id="{DF0B0340-B059-4723-91E4-BCFF4C9E8FD9}"/>
            </a:ext>
          </a:extLst>
        </xdr:cNvPr>
        <xdr:cNvSpPr txBox="1">
          <a:spLocks noChangeArrowheads="1"/>
        </xdr:cNvSpPr>
      </xdr:nvSpPr>
      <xdr:spPr bwMode="auto">
        <a:xfrm>
          <a:off x="13307786" y="380183571"/>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0" name="Text Box 47">
          <a:extLst>
            <a:ext uri="{FF2B5EF4-FFF2-40B4-BE49-F238E27FC236}">
              <a16:creationId xmlns="" xmlns:a16="http://schemas.microsoft.com/office/drawing/2014/main" id="{D9513D0E-E0CD-4286-B963-C8458BAFDDFF}"/>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1" name="Text Box 48">
          <a:extLst>
            <a:ext uri="{FF2B5EF4-FFF2-40B4-BE49-F238E27FC236}">
              <a16:creationId xmlns="" xmlns:a16="http://schemas.microsoft.com/office/drawing/2014/main" id="{A725EDCD-A69B-4B79-B9DE-655E23C8A96A}"/>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2" name="Text Box 49">
          <a:extLst>
            <a:ext uri="{FF2B5EF4-FFF2-40B4-BE49-F238E27FC236}">
              <a16:creationId xmlns="" xmlns:a16="http://schemas.microsoft.com/office/drawing/2014/main" id="{1ED3A57E-38F4-408A-A760-7A9FC2E4A6DA}"/>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3" name="Text Box 50">
          <a:extLst>
            <a:ext uri="{FF2B5EF4-FFF2-40B4-BE49-F238E27FC236}">
              <a16:creationId xmlns="" xmlns:a16="http://schemas.microsoft.com/office/drawing/2014/main" id="{1E32FC8C-5D4F-4674-971E-A227D3EF38F6}"/>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4" name="Text Box 70">
          <a:extLst>
            <a:ext uri="{FF2B5EF4-FFF2-40B4-BE49-F238E27FC236}">
              <a16:creationId xmlns="" xmlns:a16="http://schemas.microsoft.com/office/drawing/2014/main" id="{8E725A2E-9E65-48B8-A7C8-CAE557F56E54}"/>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5" name="Text Box 71">
          <a:extLst>
            <a:ext uri="{FF2B5EF4-FFF2-40B4-BE49-F238E27FC236}">
              <a16:creationId xmlns="" xmlns:a16="http://schemas.microsoft.com/office/drawing/2014/main" id="{9C09F46C-6AF6-4533-8809-F1BC10D833D4}"/>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6" name="Text Box 83">
          <a:extLst>
            <a:ext uri="{FF2B5EF4-FFF2-40B4-BE49-F238E27FC236}">
              <a16:creationId xmlns="" xmlns:a16="http://schemas.microsoft.com/office/drawing/2014/main" id="{8FB43A93-EE38-4B63-AF21-36616C04BB5A}"/>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7" name="Text Box 84">
          <a:extLst>
            <a:ext uri="{FF2B5EF4-FFF2-40B4-BE49-F238E27FC236}">
              <a16:creationId xmlns="" xmlns:a16="http://schemas.microsoft.com/office/drawing/2014/main" id="{7311584F-1381-4E7C-ADD5-755C5B29A7C2}"/>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8" name="Text Box 85">
          <a:extLst>
            <a:ext uri="{FF2B5EF4-FFF2-40B4-BE49-F238E27FC236}">
              <a16:creationId xmlns="" xmlns:a16="http://schemas.microsoft.com/office/drawing/2014/main" id="{70647048-E9D9-43D0-9861-59744979B0A3}"/>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09" name="Text Box 86">
          <a:extLst>
            <a:ext uri="{FF2B5EF4-FFF2-40B4-BE49-F238E27FC236}">
              <a16:creationId xmlns="" xmlns:a16="http://schemas.microsoft.com/office/drawing/2014/main" id="{F3E8AEDD-3BFE-4C58-97A6-BA6FC10B3E79}"/>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10" name="Text Box 93">
          <a:extLst>
            <a:ext uri="{FF2B5EF4-FFF2-40B4-BE49-F238E27FC236}">
              <a16:creationId xmlns="" xmlns:a16="http://schemas.microsoft.com/office/drawing/2014/main" id="{BE155FCB-E806-49E9-B943-D8558A3014F4}"/>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11" name="Text Box 94">
          <a:extLst>
            <a:ext uri="{FF2B5EF4-FFF2-40B4-BE49-F238E27FC236}">
              <a16:creationId xmlns="" xmlns:a16="http://schemas.microsoft.com/office/drawing/2014/main" id="{9631B10E-073E-48EC-8376-D5637409BC08}"/>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61925"/>
    <xdr:sp macro="" textlink="">
      <xdr:nvSpPr>
        <xdr:cNvPr id="1912" name="Text Box 804">
          <a:extLst>
            <a:ext uri="{FF2B5EF4-FFF2-40B4-BE49-F238E27FC236}">
              <a16:creationId xmlns="" xmlns:a16="http://schemas.microsoft.com/office/drawing/2014/main" id="{830D53E1-953A-4B68-B9EA-F46FB0A1E4AF}"/>
            </a:ext>
          </a:extLst>
        </xdr:cNvPr>
        <xdr:cNvSpPr txBox="1">
          <a:spLocks noChangeArrowheads="1"/>
        </xdr:cNvSpPr>
      </xdr:nvSpPr>
      <xdr:spPr bwMode="auto">
        <a:xfrm>
          <a:off x="13307786" y="380183571"/>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257175" cy="152400"/>
    <xdr:sp macro="" textlink="">
      <xdr:nvSpPr>
        <xdr:cNvPr id="1913" name="Text Box 804">
          <a:extLst>
            <a:ext uri="{FF2B5EF4-FFF2-40B4-BE49-F238E27FC236}">
              <a16:creationId xmlns="" xmlns:a16="http://schemas.microsoft.com/office/drawing/2014/main" id="{6181853D-849E-4E14-83EB-57F16C661CCB}"/>
            </a:ext>
          </a:extLst>
        </xdr:cNvPr>
        <xdr:cNvSpPr txBox="1">
          <a:spLocks noChangeArrowheads="1"/>
        </xdr:cNvSpPr>
      </xdr:nvSpPr>
      <xdr:spPr bwMode="auto">
        <a:xfrm>
          <a:off x="13307786" y="380183571"/>
          <a:ext cx="257175"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14" name="Text Box 47">
          <a:extLst>
            <a:ext uri="{FF2B5EF4-FFF2-40B4-BE49-F238E27FC236}">
              <a16:creationId xmlns="" xmlns:a16="http://schemas.microsoft.com/office/drawing/2014/main" id="{B1306F9F-F35D-4A11-AFED-91B943F84520}"/>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15" name="Text Box 48">
          <a:extLst>
            <a:ext uri="{FF2B5EF4-FFF2-40B4-BE49-F238E27FC236}">
              <a16:creationId xmlns="" xmlns:a16="http://schemas.microsoft.com/office/drawing/2014/main" id="{32DAB0AC-E733-41FD-91CB-7693FCD82DDD}"/>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16" name="Text Box 49">
          <a:extLst>
            <a:ext uri="{FF2B5EF4-FFF2-40B4-BE49-F238E27FC236}">
              <a16:creationId xmlns="" xmlns:a16="http://schemas.microsoft.com/office/drawing/2014/main" id="{9B335D1D-8EF1-4B4A-961F-0DDF525C46B8}"/>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17" name="Text Box 50">
          <a:extLst>
            <a:ext uri="{FF2B5EF4-FFF2-40B4-BE49-F238E27FC236}">
              <a16:creationId xmlns="" xmlns:a16="http://schemas.microsoft.com/office/drawing/2014/main" id="{D5217132-3D42-4947-BD18-6BAFEB49F943}"/>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18" name="Text Box 70">
          <a:extLst>
            <a:ext uri="{FF2B5EF4-FFF2-40B4-BE49-F238E27FC236}">
              <a16:creationId xmlns="" xmlns:a16="http://schemas.microsoft.com/office/drawing/2014/main" id="{3B56D134-1BEA-46A3-A178-FF7C15E16921}"/>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19" name="Text Box 71">
          <a:extLst>
            <a:ext uri="{FF2B5EF4-FFF2-40B4-BE49-F238E27FC236}">
              <a16:creationId xmlns="" xmlns:a16="http://schemas.microsoft.com/office/drawing/2014/main" id="{49EACE7B-64BB-4552-9EA6-67FCAF46BEAF}"/>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20" name="Text Box 83">
          <a:extLst>
            <a:ext uri="{FF2B5EF4-FFF2-40B4-BE49-F238E27FC236}">
              <a16:creationId xmlns="" xmlns:a16="http://schemas.microsoft.com/office/drawing/2014/main" id="{6B5D342A-1D04-4B28-96A2-B65509C7D463}"/>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21" name="Text Box 84">
          <a:extLst>
            <a:ext uri="{FF2B5EF4-FFF2-40B4-BE49-F238E27FC236}">
              <a16:creationId xmlns="" xmlns:a16="http://schemas.microsoft.com/office/drawing/2014/main" id="{68857561-6517-428E-BA5D-6B6471BA9EC3}"/>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22" name="Text Box 85">
          <a:extLst>
            <a:ext uri="{FF2B5EF4-FFF2-40B4-BE49-F238E27FC236}">
              <a16:creationId xmlns="" xmlns:a16="http://schemas.microsoft.com/office/drawing/2014/main" id="{3B81595E-844D-4317-9ACF-547ABB226521}"/>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6</xdr:col>
      <xdr:colOff>0</xdr:colOff>
      <xdr:row>276</xdr:row>
      <xdr:rowOff>0</xdr:rowOff>
    </xdr:from>
    <xdr:ext cx="76200" cy="223157"/>
    <xdr:sp macro="" textlink="">
      <xdr:nvSpPr>
        <xdr:cNvPr id="1923" name="Text Box 86">
          <a:extLst>
            <a:ext uri="{FF2B5EF4-FFF2-40B4-BE49-F238E27FC236}">
              <a16:creationId xmlns="" xmlns:a16="http://schemas.microsoft.com/office/drawing/2014/main" id="{3E9E2AEE-EED0-4058-B72A-2D722A1F017A}"/>
            </a:ext>
          </a:extLst>
        </xdr:cNvPr>
        <xdr:cNvSpPr txBox="1">
          <a:spLocks noChangeArrowheads="1"/>
        </xdr:cNvSpPr>
      </xdr:nvSpPr>
      <xdr:spPr bwMode="auto">
        <a:xfrm>
          <a:off x="13307786" y="3801835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5</xdr:col>
      <xdr:colOff>587828</xdr:colOff>
      <xdr:row>276</xdr:row>
      <xdr:rowOff>0</xdr:rowOff>
    </xdr:from>
    <xdr:ext cx="76200" cy="223157"/>
    <xdr:sp macro="" textlink="">
      <xdr:nvSpPr>
        <xdr:cNvPr id="1924" name="Text Box 93">
          <a:extLst>
            <a:ext uri="{FF2B5EF4-FFF2-40B4-BE49-F238E27FC236}">
              <a16:creationId xmlns="" xmlns:a16="http://schemas.microsoft.com/office/drawing/2014/main" id="{53A799E7-7ABB-4B5D-B6A2-6946C427AB3D}"/>
            </a:ext>
          </a:extLst>
        </xdr:cNvPr>
        <xdr:cNvSpPr txBox="1">
          <a:spLocks noChangeArrowheads="1"/>
        </xdr:cNvSpPr>
      </xdr:nvSpPr>
      <xdr:spPr bwMode="auto">
        <a:xfrm>
          <a:off x="11005457" y="418740771"/>
          <a:ext cx="76200" cy="22315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794657</xdr:colOff>
      <xdr:row>276</xdr:row>
      <xdr:rowOff>212270</xdr:rowOff>
    </xdr:from>
    <xdr:ext cx="1219200" cy="767443"/>
    <xdr:sp macro="" textlink="">
      <xdr:nvSpPr>
        <xdr:cNvPr id="1925" name="Text Box 94">
          <a:extLst>
            <a:ext uri="{FF2B5EF4-FFF2-40B4-BE49-F238E27FC236}">
              <a16:creationId xmlns="" xmlns:a16="http://schemas.microsoft.com/office/drawing/2014/main" id="{44F6F4C2-18D4-4525-BDE3-49043FEE3ABF}"/>
            </a:ext>
          </a:extLst>
        </xdr:cNvPr>
        <xdr:cNvSpPr txBox="1">
          <a:spLocks noChangeArrowheads="1"/>
        </xdr:cNvSpPr>
      </xdr:nvSpPr>
      <xdr:spPr bwMode="auto">
        <a:xfrm flipV="1">
          <a:off x="10156371" y="419279613"/>
          <a:ext cx="1219200" cy="76744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9</xdr:col>
      <xdr:colOff>0</xdr:colOff>
      <xdr:row>276</xdr:row>
      <xdr:rowOff>0</xdr:rowOff>
    </xdr:from>
    <xdr:ext cx="257175" cy="161925"/>
    <xdr:sp macro="" textlink="">
      <xdr:nvSpPr>
        <xdr:cNvPr id="1928" name="Text Box 804">
          <a:extLst>
            <a:ext uri="{FF2B5EF4-FFF2-40B4-BE49-F238E27FC236}">
              <a16:creationId xmlns="" xmlns:a16="http://schemas.microsoft.com/office/drawing/2014/main" id="{38DADBEC-804A-4F83-B870-6FDB9865C047}"/>
            </a:ext>
          </a:extLst>
        </xdr:cNvPr>
        <xdr:cNvSpPr txBox="1">
          <a:spLocks noChangeArrowheads="1"/>
        </xdr:cNvSpPr>
      </xdr:nvSpPr>
      <xdr:spPr bwMode="auto">
        <a:xfrm>
          <a:off x="15519400" y="450164200"/>
          <a:ext cx="257175"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27" name="Text Box 68">
          <a:extLst>
            <a:ext uri="{FF2B5EF4-FFF2-40B4-BE49-F238E27FC236}">
              <a16:creationId xmlns="" xmlns:a16="http://schemas.microsoft.com/office/drawing/2014/main" id="{795B3AE7-2029-49AA-94BF-7954DF63A010}"/>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29" name="Text Box 69">
          <a:extLst>
            <a:ext uri="{FF2B5EF4-FFF2-40B4-BE49-F238E27FC236}">
              <a16:creationId xmlns="" xmlns:a16="http://schemas.microsoft.com/office/drawing/2014/main" id="{7D5D5805-FC3A-4F1A-8226-AAB02A382A59}"/>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0" name="Text Box 91">
          <a:extLst>
            <a:ext uri="{FF2B5EF4-FFF2-40B4-BE49-F238E27FC236}">
              <a16:creationId xmlns="" xmlns:a16="http://schemas.microsoft.com/office/drawing/2014/main" id="{E31B0F30-FE66-439A-B4EB-7A6D86B51B64}"/>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1" name="Text Box 92">
          <a:extLst>
            <a:ext uri="{FF2B5EF4-FFF2-40B4-BE49-F238E27FC236}">
              <a16:creationId xmlns="" xmlns:a16="http://schemas.microsoft.com/office/drawing/2014/main" id="{1FE90E7E-F711-42B6-875B-42781838A6FC}"/>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2" name="Text Box 68">
          <a:extLst>
            <a:ext uri="{FF2B5EF4-FFF2-40B4-BE49-F238E27FC236}">
              <a16:creationId xmlns="" xmlns:a16="http://schemas.microsoft.com/office/drawing/2014/main" id="{77C57554-FED3-4206-B66C-5ED5AAF10A0D}"/>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3" name="Text Box 69">
          <a:extLst>
            <a:ext uri="{FF2B5EF4-FFF2-40B4-BE49-F238E27FC236}">
              <a16:creationId xmlns="" xmlns:a16="http://schemas.microsoft.com/office/drawing/2014/main" id="{C118AB54-4B3C-49AF-B3D5-8824139ED6CD}"/>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4" name="Text Box 91">
          <a:extLst>
            <a:ext uri="{FF2B5EF4-FFF2-40B4-BE49-F238E27FC236}">
              <a16:creationId xmlns="" xmlns:a16="http://schemas.microsoft.com/office/drawing/2014/main" id="{30C20A78-CE87-414A-A1C7-F29C89B05AD6}"/>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5" name="Text Box 68">
          <a:extLst>
            <a:ext uri="{FF2B5EF4-FFF2-40B4-BE49-F238E27FC236}">
              <a16:creationId xmlns="" xmlns:a16="http://schemas.microsoft.com/office/drawing/2014/main" id="{14F21755-8FFC-4F48-949B-5014EBF1CF74}"/>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6" name="Text Box 69">
          <a:extLst>
            <a:ext uri="{FF2B5EF4-FFF2-40B4-BE49-F238E27FC236}">
              <a16:creationId xmlns="" xmlns:a16="http://schemas.microsoft.com/office/drawing/2014/main" id="{382F7721-4ED2-4A90-89F9-0959621AD7F0}"/>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7" name="Text Box 91">
          <a:extLst>
            <a:ext uri="{FF2B5EF4-FFF2-40B4-BE49-F238E27FC236}">
              <a16:creationId xmlns="" xmlns:a16="http://schemas.microsoft.com/office/drawing/2014/main" id="{45567FE6-E24C-4A7A-8BBC-A17F6365AC1E}"/>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8" name="Text Box 92">
          <a:extLst>
            <a:ext uri="{FF2B5EF4-FFF2-40B4-BE49-F238E27FC236}">
              <a16:creationId xmlns="" xmlns:a16="http://schemas.microsoft.com/office/drawing/2014/main" id="{02FA5C26-DD5D-49A5-BF0D-C437F2E2415F}"/>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39" name="Text Box 68">
          <a:extLst>
            <a:ext uri="{FF2B5EF4-FFF2-40B4-BE49-F238E27FC236}">
              <a16:creationId xmlns="" xmlns:a16="http://schemas.microsoft.com/office/drawing/2014/main" id="{E5864205-F625-49B7-B79A-E49F53783031}"/>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2</xdr:col>
      <xdr:colOff>0</xdr:colOff>
      <xdr:row>277</xdr:row>
      <xdr:rowOff>0</xdr:rowOff>
    </xdr:from>
    <xdr:ext cx="76200" cy="232682"/>
    <xdr:sp macro="" textlink="">
      <xdr:nvSpPr>
        <xdr:cNvPr id="1940" name="Text Box 69">
          <a:extLst>
            <a:ext uri="{FF2B5EF4-FFF2-40B4-BE49-F238E27FC236}">
              <a16:creationId xmlns="" xmlns:a16="http://schemas.microsoft.com/office/drawing/2014/main" id="{A8DC0297-E30A-4A92-963C-037A9F53E89C}"/>
            </a:ext>
          </a:extLst>
        </xdr:cNvPr>
        <xdr:cNvSpPr txBox="1">
          <a:spLocks noChangeArrowheads="1"/>
        </xdr:cNvSpPr>
      </xdr:nvSpPr>
      <xdr:spPr bwMode="auto">
        <a:xfrm>
          <a:off x="1537607" y="426679179"/>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41" name="Text Box 68">
          <a:extLst>
            <a:ext uri="{FF2B5EF4-FFF2-40B4-BE49-F238E27FC236}">
              <a16:creationId xmlns="" xmlns:a16="http://schemas.microsoft.com/office/drawing/2014/main" id="{0D455805-B51E-41F0-8945-9F749D36C3DD}"/>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42" name="Text Box 69">
          <a:extLst>
            <a:ext uri="{FF2B5EF4-FFF2-40B4-BE49-F238E27FC236}">
              <a16:creationId xmlns="" xmlns:a16="http://schemas.microsoft.com/office/drawing/2014/main" id="{D854D43E-7F06-462C-99DE-EF0F57466F15}"/>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43" name="Text Box 91">
          <a:extLst>
            <a:ext uri="{FF2B5EF4-FFF2-40B4-BE49-F238E27FC236}">
              <a16:creationId xmlns="" xmlns:a16="http://schemas.microsoft.com/office/drawing/2014/main" id="{49E4A8E4-C643-4FBA-BAFB-6FD48D130202}"/>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44" name="Text Box 92">
          <a:extLst>
            <a:ext uri="{FF2B5EF4-FFF2-40B4-BE49-F238E27FC236}">
              <a16:creationId xmlns="" xmlns:a16="http://schemas.microsoft.com/office/drawing/2014/main" id="{2118D71A-4F64-43EF-82EC-60AE0386437A}"/>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45" name="Text Box 68">
          <a:extLst>
            <a:ext uri="{FF2B5EF4-FFF2-40B4-BE49-F238E27FC236}">
              <a16:creationId xmlns="" xmlns:a16="http://schemas.microsoft.com/office/drawing/2014/main" id="{A8A697D0-9495-4797-A2FD-22877391A0AB}"/>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46" name="Text Box 69">
          <a:extLst>
            <a:ext uri="{FF2B5EF4-FFF2-40B4-BE49-F238E27FC236}">
              <a16:creationId xmlns="" xmlns:a16="http://schemas.microsoft.com/office/drawing/2014/main" id="{75567B9F-C21E-4BBB-8DCB-796D2756E107}"/>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47" name="Text Box 91">
          <a:extLst>
            <a:ext uri="{FF2B5EF4-FFF2-40B4-BE49-F238E27FC236}">
              <a16:creationId xmlns="" xmlns:a16="http://schemas.microsoft.com/office/drawing/2014/main" id="{FA2C8B73-098C-4F57-8A4A-0D25DDFFE359}"/>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48" name="Text Box 68">
          <a:extLst>
            <a:ext uri="{FF2B5EF4-FFF2-40B4-BE49-F238E27FC236}">
              <a16:creationId xmlns="" xmlns:a16="http://schemas.microsoft.com/office/drawing/2014/main" id="{2CFF2D86-0382-4F7B-9505-FBC2E66D8095}"/>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49" name="Text Box 69">
          <a:extLst>
            <a:ext uri="{FF2B5EF4-FFF2-40B4-BE49-F238E27FC236}">
              <a16:creationId xmlns="" xmlns:a16="http://schemas.microsoft.com/office/drawing/2014/main" id="{BD3B7DCD-2F2D-4B6C-9714-F3A5240F7EFB}"/>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50" name="Text Box 91">
          <a:extLst>
            <a:ext uri="{FF2B5EF4-FFF2-40B4-BE49-F238E27FC236}">
              <a16:creationId xmlns="" xmlns:a16="http://schemas.microsoft.com/office/drawing/2014/main" id="{94EB7FF4-6E0B-467E-95CA-2208928FD69D}"/>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51" name="Text Box 92">
          <a:extLst>
            <a:ext uri="{FF2B5EF4-FFF2-40B4-BE49-F238E27FC236}">
              <a16:creationId xmlns="" xmlns:a16="http://schemas.microsoft.com/office/drawing/2014/main" id="{71AE81AB-D694-4CBB-B3BF-E68F93DC20CB}"/>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52" name="Text Box 68">
          <a:extLst>
            <a:ext uri="{FF2B5EF4-FFF2-40B4-BE49-F238E27FC236}">
              <a16:creationId xmlns="" xmlns:a16="http://schemas.microsoft.com/office/drawing/2014/main" id="{5315C372-B275-4599-9F80-D87619E84FFD}"/>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276</xdr:row>
      <xdr:rowOff>0</xdr:rowOff>
    </xdr:from>
    <xdr:ext cx="76200" cy="232682"/>
    <xdr:sp macro="" textlink="">
      <xdr:nvSpPr>
        <xdr:cNvPr id="1953" name="Text Box 69">
          <a:extLst>
            <a:ext uri="{FF2B5EF4-FFF2-40B4-BE49-F238E27FC236}">
              <a16:creationId xmlns="" xmlns:a16="http://schemas.microsoft.com/office/drawing/2014/main" id="{42BEE182-64EE-4A16-90C7-AE15EACEE9BE}"/>
            </a:ext>
          </a:extLst>
        </xdr:cNvPr>
        <xdr:cNvSpPr txBox="1">
          <a:spLocks noChangeArrowheads="1"/>
        </xdr:cNvSpPr>
      </xdr:nvSpPr>
      <xdr:spPr bwMode="auto">
        <a:xfrm>
          <a:off x="1537607"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54" name="Text Box 68">
          <a:extLst>
            <a:ext uri="{FF2B5EF4-FFF2-40B4-BE49-F238E27FC236}">
              <a16:creationId xmlns="" xmlns:a16="http://schemas.microsoft.com/office/drawing/2014/main" id="{B2FBD94D-D723-490E-850A-851BB4CD2E6C}"/>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55" name="Text Box 69">
          <a:extLst>
            <a:ext uri="{FF2B5EF4-FFF2-40B4-BE49-F238E27FC236}">
              <a16:creationId xmlns="" xmlns:a16="http://schemas.microsoft.com/office/drawing/2014/main" id="{EBE0054E-CDE5-4620-9BED-52B0E5007FC1}"/>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56" name="Text Box 91">
          <a:extLst>
            <a:ext uri="{FF2B5EF4-FFF2-40B4-BE49-F238E27FC236}">
              <a16:creationId xmlns="" xmlns:a16="http://schemas.microsoft.com/office/drawing/2014/main" id="{6ED456E1-D038-4E24-AF2F-7E3F48FA3F78}"/>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57" name="Text Box 92">
          <a:extLst>
            <a:ext uri="{FF2B5EF4-FFF2-40B4-BE49-F238E27FC236}">
              <a16:creationId xmlns="" xmlns:a16="http://schemas.microsoft.com/office/drawing/2014/main" id="{B05AED01-C395-47B5-A75B-6DD65C7D72A6}"/>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58" name="Text Box 68">
          <a:extLst>
            <a:ext uri="{FF2B5EF4-FFF2-40B4-BE49-F238E27FC236}">
              <a16:creationId xmlns="" xmlns:a16="http://schemas.microsoft.com/office/drawing/2014/main" id="{C48E56A9-D494-42F5-936C-9D31E7D11A36}"/>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59" name="Text Box 69">
          <a:extLst>
            <a:ext uri="{FF2B5EF4-FFF2-40B4-BE49-F238E27FC236}">
              <a16:creationId xmlns="" xmlns:a16="http://schemas.microsoft.com/office/drawing/2014/main" id="{CB1AF7D2-D4E0-411B-BF10-015F85B7DBD0}"/>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60" name="Text Box 91">
          <a:extLst>
            <a:ext uri="{FF2B5EF4-FFF2-40B4-BE49-F238E27FC236}">
              <a16:creationId xmlns="" xmlns:a16="http://schemas.microsoft.com/office/drawing/2014/main" id="{3313580F-9FDB-4EC1-9425-064AD1F8B38F}"/>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61" name="Text Box 68">
          <a:extLst>
            <a:ext uri="{FF2B5EF4-FFF2-40B4-BE49-F238E27FC236}">
              <a16:creationId xmlns="" xmlns:a16="http://schemas.microsoft.com/office/drawing/2014/main" id="{13AF3242-0CA5-4293-AFBD-56A322674C7B}"/>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62" name="Text Box 69">
          <a:extLst>
            <a:ext uri="{FF2B5EF4-FFF2-40B4-BE49-F238E27FC236}">
              <a16:creationId xmlns="" xmlns:a16="http://schemas.microsoft.com/office/drawing/2014/main" id="{3372DBB6-9960-4AE2-9469-398EB51EF7ED}"/>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63" name="Text Box 91">
          <a:extLst>
            <a:ext uri="{FF2B5EF4-FFF2-40B4-BE49-F238E27FC236}">
              <a16:creationId xmlns="" xmlns:a16="http://schemas.microsoft.com/office/drawing/2014/main" id="{2F91810A-FC9B-49DA-9BB8-3269409EBCEF}"/>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64" name="Text Box 92">
          <a:extLst>
            <a:ext uri="{FF2B5EF4-FFF2-40B4-BE49-F238E27FC236}">
              <a16:creationId xmlns="" xmlns:a16="http://schemas.microsoft.com/office/drawing/2014/main" id="{B62755CB-3D92-45A4-B0E2-D5255E262DA0}"/>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65" name="Text Box 68">
          <a:extLst>
            <a:ext uri="{FF2B5EF4-FFF2-40B4-BE49-F238E27FC236}">
              <a16:creationId xmlns="" xmlns:a16="http://schemas.microsoft.com/office/drawing/2014/main" id="{7E153590-06A8-4A03-81B9-BB8C8973678B}"/>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3</xdr:col>
      <xdr:colOff>0</xdr:colOff>
      <xdr:row>277</xdr:row>
      <xdr:rowOff>0</xdr:rowOff>
    </xdr:from>
    <xdr:ext cx="76200" cy="232682"/>
    <xdr:sp macro="" textlink="">
      <xdr:nvSpPr>
        <xdr:cNvPr id="1966" name="Text Box 69">
          <a:extLst>
            <a:ext uri="{FF2B5EF4-FFF2-40B4-BE49-F238E27FC236}">
              <a16:creationId xmlns="" xmlns:a16="http://schemas.microsoft.com/office/drawing/2014/main" id="{6FEFF6AD-B3C1-4EBB-A8CD-2320EA6D8145}"/>
            </a:ext>
          </a:extLst>
        </xdr:cNvPr>
        <xdr:cNvSpPr txBox="1">
          <a:spLocks noChangeArrowheads="1"/>
        </xdr:cNvSpPr>
      </xdr:nvSpPr>
      <xdr:spPr bwMode="auto">
        <a:xfrm>
          <a:off x="1537607"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207"/>
    <xdr:sp macro="" textlink="">
      <xdr:nvSpPr>
        <xdr:cNvPr id="1967" name="Text Box 19">
          <a:extLst>
            <a:ext uri="{FF2B5EF4-FFF2-40B4-BE49-F238E27FC236}">
              <a16:creationId xmlns="" xmlns:a16="http://schemas.microsoft.com/office/drawing/2014/main" id="{FA188539-701C-408B-BDBB-1AF317BA3D1D}"/>
            </a:ext>
          </a:extLst>
        </xdr:cNvPr>
        <xdr:cNvSpPr txBox="1">
          <a:spLocks noChangeArrowheads="1"/>
        </xdr:cNvSpPr>
      </xdr:nvSpPr>
      <xdr:spPr bwMode="auto">
        <a:xfrm>
          <a:off x="6545036" y="41500425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207"/>
    <xdr:sp macro="" textlink="">
      <xdr:nvSpPr>
        <xdr:cNvPr id="1968" name="Text Box 20">
          <a:extLst>
            <a:ext uri="{FF2B5EF4-FFF2-40B4-BE49-F238E27FC236}">
              <a16:creationId xmlns="" xmlns:a16="http://schemas.microsoft.com/office/drawing/2014/main" id="{D4072A7E-33C3-4A81-A308-2BA1BA370C70}"/>
            </a:ext>
          </a:extLst>
        </xdr:cNvPr>
        <xdr:cNvSpPr txBox="1">
          <a:spLocks noChangeArrowheads="1"/>
        </xdr:cNvSpPr>
      </xdr:nvSpPr>
      <xdr:spPr bwMode="auto">
        <a:xfrm>
          <a:off x="6545036" y="41500425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69" name="Text Box 35">
          <a:extLst>
            <a:ext uri="{FF2B5EF4-FFF2-40B4-BE49-F238E27FC236}">
              <a16:creationId xmlns="" xmlns:a16="http://schemas.microsoft.com/office/drawing/2014/main" id="{EB398A0F-9DFA-44BB-98BC-F3425CF74B74}"/>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70" name="Text Box 36">
          <a:extLst>
            <a:ext uri="{FF2B5EF4-FFF2-40B4-BE49-F238E27FC236}">
              <a16:creationId xmlns="" xmlns:a16="http://schemas.microsoft.com/office/drawing/2014/main" id="{769D535B-03B3-459D-B871-CAD74887523B}"/>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7932"/>
    <xdr:sp macro="" textlink="">
      <xdr:nvSpPr>
        <xdr:cNvPr id="1971" name="Text Box 67">
          <a:extLst>
            <a:ext uri="{FF2B5EF4-FFF2-40B4-BE49-F238E27FC236}">
              <a16:creationId xmlns="" xmlns:a16="http://schemas.microsoft.com/office/drawing/2014/main" id="{A377C743-6BB1-4DC0-A7A2-1C2E818F0801}"/>
            </a:ext>
          </a:extLst>
        </xdr:cNvPr>
        <xdr:cNvSpPr txBox="1">
          <a:spLocks noChangeArrowheads="1"/>
        </xdr:cNvSpPr>
      </xdr:nvSpPr>
      <xdr:spPr bwMode="auto">
        <a:xfrm>
          <a:off x="6545036" y="41500425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7932"/>
    <xdr:sp macro="" textlink="">
      <xdr:nvSpPr>
        <xdr:cNvPr id="1972" name="Text Box 68">
          <a:extLst>
            <a:ext uri="{FF2B5EF4-FFF2-40B4-BE49-F238E27FC236}">
              <a16:creationId xmlns="" xmlns:a16="http://schemas.microsoft.com/office/drawing/2014/main" id="{2BFEFE59-47AC-4A46-B647-554FD1500428}"/>
            </a:ext>
          </a:extLst>
        </xdr:cNvPr>
        <xdr:cNvSpPr txBox="1">
          <a:spLocks noChangeArrowheads="1"/>
        </xdr:cNvSpPr>
      </xdr:nvSpPr>
      <xdr:spPr bwMode="auto">
        <a:xfrm>
          <a:off x="6545036" y="41500425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207"/>
    <xdr:sp macro="" textlink="">
      <xdr:nvSpPr>
        <xdr:cNvPr id="1973" name="Text Box 97">
          <a:extLst>
            <a:ext uri="{FF2B5EF4-FFF2-40B4-BE49-F238E27FC236}">
              <a16:creationId xmlns="" xmlns:a16="http://schemas.microsoft.com/office/drawing/2014/main" id="{1626D9F3-80BF-407A-94D4-3B98FB3713FA}"/>
            </a:ext>
          </a:extLst>
        </xdr:cNvPr>
        <xdr:cNvSpPr txBox="1">
          <a:spLocks noChangeArrowheads="1"/>
        </xdr:cNvSpPr>
      </xdr:nvSpPr>
      <xdr:spPr bwMode="auto">
        <a:xfrm>
          <a:off x="6545036" y="41500425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207"/>
    <xdr:sp macro="" textlink="">
      <xdr:nvSpPr>
        <xdr:cNvPr id="1974" name="Text Box 98">
          <a:extLst>
            <a:ext uri="{FF2B5EF4-FFF2-40B4-BE49-F238E27FC236}">
              <a16:creationId xmlns="" xmlns:a16="http://schemas.microsoft.com/office/drawing/2014/main" id="{3D2FBB67-BD81-48DD-ACE6-B3AC8DF83EA9}"/>
            </a:ext>
          </a:extLst>
        </xdr:cNvPr>
        <xdr:cNvSpPr txBox="1">
          <a:spLocks noChangeArrowheads="1"/>
        </xdr:cNvSpPr>
      </xdr:nvSpPr>
      <xdr:spPr bwMode="auto">
        <a:xfrm>
          <a:off x="6545036" y="41500425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75" name="Text Box 113">
          <a:extLst>
            <a:ext uri="{FF2B5EF4-FFF2-40B4-BE49-F238E27FC236}">
              <a16:creationId xmlns="" xmlns:a16="http://schemas.microsoft.com/office/drawing/2014/main" id="{C820AAEA-941E-45BA-A3AE-49ECD58DED44}"/>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76" name="Text Box 114">
          <a:extLst>
            <a:ext uri="{FF2B5EF4-FFF2-40B4-BE49-F238E27FC236}">
              <a16:creationId xmlns="" xmlns:a16="http://schemas.microsoft.com/office/drawing/2014/main" id="{7B5C1D07-D345-4CA6-B9CE-D2905B12F484}"/>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7932"/>
    <xdr:sp macro="" textlink="">
      <xdr:nvSpPr>
        <xdr:cNvPr id="1977" name="Text Box 145">
          <a:extLst>
            <a:ext uri="{FF2B5EF4-FFF2-40B4-BE49-F238E27FC236}">
              <a16:creationId xmlns="" xmlns:a16="http://schemas.microsoft.com/office/drawing/2014/main" id="{58318072-6573-4923-9CAE-E48D721DAAD4}"/>
            </a:ext>
          </a:extLst>
        </xdr:cNvPr>
        <xdr:cNvSpPr txBox="1">
          <a:spLocks noChangeArrowheads="1"/>
        </xdr:cNvSpPr>
      </xdr:nvSpPr>
      <xdr:spPr bwMode="auto">
        <a:xfrm>
          <a:off x="6545036" y="41500425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7932"/>
    <xdr:sp macro="" textlink="">
      <xdr:nvSpPr>
        <xdr:cNvPr id="1978" name="Text Box 146">
          <a:extLst>
            <a:ext uri="{FF2B5EF4-FFF2-40B4-BE49-F238E27FC236}">
              <a16:creationId xmlns="" xmlns:a16="http://schemas.microsoft.com/office/drawing/2014/main" id="{72D63FD7-3F2A-4337-8A12-71AADE29D2E8}"/>
            </a:ext>
          </a:extLst>
        </xdr:cNvPr>
        <xdr:cNvSpPr txBox="1">
          <a:spLocks noChangeArrowheads="1"/>
        </xdr:cNvSpPr>
      </xdr:nvSpPr>
      <xdr:spPr bwMode="auto">
        <a:xfrm>
          <a:off x="6545036" y="41500425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1732"/>
    <xdr:sp macro="" textlink="">
      <xdr:nvSpPr>
        <xdr:cNvPr id="1979" name="Text Box 67">
          <a:extLst>
            <a:ext uri="{FF2B5EF4-FFF2-40B4-BE49-F238E27FC236}">
              <a16:creationId xmlns="" xmlns:a16="http://schemas.microsoft.com/office/drawing/2014/main" id="{33BCE1E4-4563-4CDE-B6A2-DA9F051861F6}"/>
            </a:ext>
          </a:extLst>
        </xdr:cNvPr>
        <xdr:cNvSpPr txBox="1">
          <a:spLocks noChangeArrowheads="1"/>
        </xdr:cNvSpPr>
      </xdr:nvSpPr>
      <xdr:spPr bwMode="auto">
        <a:xfrm>
          <a:off x="6545036" y="41500425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1732"/>
    <xdr:sp macro="" textlink="">
      <xdr:nvSpPr>
        <xdr:cNvPr id="1980" name="Text Box 68">
          <a:extLst>
            <a:ext uri="{FF2B5EF4-FFF2-40B4-BE49-F238E27FC236}">
              <a16:creationId xmlns="" xmlns:a16="http://schemas.microsoft.com/office/drawing/2014/main" id="{609BA70E-0A03-4008-B1CC-3960ADD0E1E3}"/>
            </a:ext>
          </a:extLst>
        </xdr:cNvPr>
        <xdr:cNvSpPr txBox="1">
          <a:spLocks noChangeArrowheads="1"/>
        </xdr:cNvSpPr>
      </xdr:nvSpPr>
      <xdr:spPr bwMode="auto">
        <a:xfrm>
          <a:off x="6545036" y="41500425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1732"/>
    <xdr:sp macro="" textlink="">
      <xdr:nvSpPr>
        <xdr:cNvPr id="1981" name="Text Box 145">
          <a:extLst>
            <a:ext uri="{FF2B5EF4-FFF2-40B4-BE49-F238E27FC236}">
              <a16:creationId xmlns="" xmlns:a16="http://schemas.microsoft.com/office/drawing/2014/main" id="{3BA8346B-40C2-4FA1-8DCF-261066DE0A3A}"/>
            </a:ext>
          </a:extLst>
        </xdr:cNvPr>
        <xdr:cNvSpPr txBox="1">
          <a:spLocks noChangeArrowheads="1"/>
        </xdr:cNvSpPr>
      </xdr:nvSpPr>
      <xdr:spPr bwMode="auto">
        <a:xfrm>
          <a:off x="6545036" y="41500425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51732"/>
    <xdr:sp macro="" textlink="">
      <xdr:nvSpPr>
        <xdr:cNvPr id="1982" name="Text Box 146">
          <a:extLst>
            <a:ext uri="{FF2B5EF4-FFF2-40B4-BE49-F238E27FC236}">
              <a16:creationId xmlns="" xmlns:a16="http://schemas.microsoft.com/office/drawing/2014/main" id="{0E0EFD5E-D8E4-49B5-BECA-952A8A90DBB4}"/>
            </a:ext>
          </a:extLst>
        </xdr:cNvPr>
        <xdr:cNvSpPr txBox="1">
          <a:spLocks noChangeArrowheads="1"/>
        </xdr:cNvSpPr>
      </xdr:nvSpPr>
      <xdr:spPr bwMode="auto">
        <a:xfrm>
          <a:off x="6545036" y="415004250"/>
          <a:ext cx="76200" cy="2517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207"/>
    <xdr:sp macro="" textlink="">
      <xdr:nvSpPr>
        <xdr:cNvPr id="1983" name="Text Box 19">
          <a:extLst>
            <a:ext uri="{FF2B5EF4-FFF2-40B4-BE49-F238E27FC236}">
              <a16:creationId xmlns="" xmlns:a16="http://schemas.microsoft.com/office/drawing/2014/main" id="{EE4DDDFE-6826-4F93-99AA-3B2314D671D8}"/>
            </a:ext>
          </a:extLst>
        </xdr:cNvPr>
        <xdr:cNvSpPr txBox="1">
          <a:spLocks noChangeArrowheads="1"/>
        </xdr:cNvSpPr>
      </xdr:nvSpPr>
      <xdr:spPr bwMode="auto">
        <a:xfrm>
          <a:off x="6545036" y="41500425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207"/>
    <xdr:sp macro="" textlink="">
      <xdr:nvSpPr>
        <xdr:cNvPr id="585" name="Text Box 20">
          <a:extLst>
            <a:ext uri="{FF2B5EF4-FFF2-40B4-BE49-F238E27FC236}">
              <a16:creationId xmlns="" xmlns:a16="http://schemas.microsoft.com/office/drawing/2014/main" id="{DEF21B3E-0A16-41DE-8117-E9F47D26D6C2}"/>
            </a:ext>
          </a:extLst>
        </xdr:cNvPr>
        <xdr:cNvSpPr txBox="1">
          <a:spLocks noChangeArrowheads="1"/>
        </xdr:cNvSpPr>
      </xdr:nvSpPr>
      <xdr:spPr bwMode="auto">
        <a:xfrm>
          <a:off x="6545036" y="41500425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819" name="Text Box 35">
          <a:extLst>
            <a:ext uri="{FF2B5EF4-FFF2-40B4-BE49-F238E27FC236}">
              <a16:creationId xmlns="" xmlns:a16="http://schemas.microsoft.com/office/drawing/2014/main" id="{E4A4F8B1-D3DE-4C17-BCB5-7E6449F201E3}"/>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853" name="Text Box 36">
          <a:extLst>
            <a:ext uri="{FF2B5EF4-FFF2-40B4-BE49-F238E27FC236}">
              <a16:creationId xmlns="" xmlns:a16="http://schemas.microsoft.com/office/drawing/2014/main" id="{BBAED0FC-C74D-4DDE-B9BA-15FBE7043FE8}"/>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7932"/>
    <xdr:sp macro="" textlink="">
      <xdr:nvSpPr>
        <xdr:cNvPr id="855" name="Text Box 67">
          <a:extLst>
            <a:ext uri="{FF2B5EF4-FFF2-40B4-BE49-F238E27FC236}">
              <a16:creationId xmlns="" xmlns:a16="http://schemas.microsoft.com/office/drawing/2014/main" id="{BAD27440-A393-4BDB-A076-628709F3CF15}"/>
            </a:ext>
          </a:extLst>
        </xdr:cNvPr>
        <xdr:cNvSpPr txBox="1">
          <a:spLocks noChangeArrowheads="1"/>
        </xdr:cNvSpPr>
      </xdr:nvSpPr>
      <xdr:spPr bwMode="auto">
        <a:xfrm>
          <a:off x="6545036" y="41500425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7932"/>
    <xdr:sp macro="" textlink="">
      <xdr:nvSpPr>
        <xdr:cNvPr id="857" name="Text Box 68">
          <a:extLst>
            <a:ext uri="{FF2B5EF4-FFF2-40B4-BE49-F238E27FC236}">
              <a16:creationId xmlns="" xmlns:a16="http://schemas.microsoft.com/office/drawing/2014/main" id="{1CB056BF-8DA1-4AB7-98D1-B9B977E8E3B3}"/>
            </a:ext>
          </a:extLst>
        </xdr:cNvPr>
        <xdr:cNvSpPr txBox="1">
          <a:spLocks noChangeArrowheads="1"/>
        </xdr:cNvSpPr>
      </xdr:nvSpPr>
      <xdr:spPr bwMode="auto">
        <a:xfrm>
          <a:off x="6545036" y="41500425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207"/>
    <xdr:sp macro="" textlink="">
      <xdr:nvSpPr>
        <xdr:cNvPr id="858" name="Text Box 97">
          <a:extLst>
            <a:ext uri="{FF2B5EF4-FFF2-40B4-BE49-F238E27FC236}">
              <a16:creationId xmlns="" xmlns:a16="http://schemas.microsoft.com/office/drawing/2014/main" id="{1373A6B5-9291-4AB7-A532-F82FA757F5F6}"/>
            </a:ext>
          </a:extLst>
        </xdr:cNvPr>
        <xdr:cNvSpPr txBox="1">
          <a:spLocks noChangeArrowheads="1"/>
        </xdr:cNvSpPr>
      </xdr:nvSpPr>
      <xdr:spPr bwMode="auto">
        <a:xfrm>
          <a:off x="6545036" y="41500425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42207"/>
    <xdr:sp macro="" textlink="">
      <xdr:nvSpPr>
        <xdr:cNvPr id="1074" name="Text Box 98">
          <a:extLst>
            <a:ext uri="{FF2B5EF4-FFF2-40B4-BE49-F238E27FC236}">
              <a16:creationId xmlns="" xmlns:a16="http://schemas.microsoft.com/office/drawing/2014/main" id="{AC94810F-A083-46B6-9BC1-DCF981549274}"/>
            </a:ext>
          </a:extLst>
        </xdr:cNvPr>
        <xdr:cNvSpPr txBox="1">
          <a:spLocks noChangeArrowheads="1"/>
        </xdr:cNvSpPr>
      </xdr:nvSpPr>
      <xdr:spPr bwMode="auto">
        <a:xfrm>
          <a:off x="6545036" y="415004250"/>
          <a:ext cx="76200" cy="2422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075" name="Text Box 113">
          <a:extLst>
            <a:ext uri="{FF2B5EF4-FFF2-40B4-BE49-F238E27FC236}">
              <a16:creationId xmlns="" xmlns:a16="http://schemas.microsoft.com/office/drawing/2014/main" id="{1B1AADDA-3792-4971-BC8F-DC354294527C}"/>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091" name="Text Box 114">
          <a:extLst>
            <a:ext uri="{FF2B5EF4-FFF2-40B4-BE49-F238E27FC236}">
              <a16:creationId xmlns="" xmlns:a16="http://schemas.microsoft.com/office/drawing/2014/main" id="{CCCC8A57-DF55-4862-B024-999DCC1759F0}"/>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7932"/>
    <xdr:sp macro="" textlink="">
      <xdr:nvSpPr>
        <xdr:cNvPr id="1755" name="Text Box 145">
          <a:extLst>
            <a:ext uri="{FF2B5EF4-FFF2-40B4-BE49-F238E27FC236}">
              <a16:creationId xmlns="" xmlns:a16="http://schemas.microsoft.com/office/drawing/2014/main" id="{F3FF60DE-8D9F-4331-BEF5-7BE67B9B7C74}"/>
            </a:ext>
          </a:extLst>
        </xdr:cNvPr>
        <xdr:cNvSpPr txBox="1">
          <a:spLocks noChangeArrowheads="1"/>
        </xdr:cNvSpPr>
      </xdr:nvSpPr>
      <xdr:spPr bwMode="auto">
        <a:xfrm>
          <a:off x="6545036" y="41500425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327932"/>
    <xdr:sp macro="" textlink="">
      <xdr:nvSpPr>
        <xdr:cNvPr id="1758" name="Text Box 146">
          <a:extLst>
            <a:ext uri="{FF2B5EF4-FFF2-40B4-BE49-F238E27FC236}">
              <a16:creationId xmlns="" xmlns:a16="http://schemas.microsoft.com/office/drawing/2014/main" id="{F73FAAA3-F194-4A89-ADAE-FCD510724F0C}"/>
            </a:ext>
          </a:extLst>
        </xdr:cNvPr>
        <xdr:cNvSpPr txBox="1">
          <a:spLocks noChangeArrowheads="1"/>
        </xdr:cNvSpPr>
      </xdr:nvSpPr>
      <xdr:spPr bwMode="auto">
        <a:xfrm>
          <a:off x="6545036" y="415004250"/>
          <a:ext cx="76200" cy="32793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801" name="Text Box 68">
          <a:extLst>
            <a:ext uri="{FF2B5EF4-FFF2-40B4-BE49-F238E27FC236}">
              <a16:creationId xmlns="" xmlns:a16="http://schemas.microsoft.com/office/drawing/2014/main" id="{BF8A4151-4857-4A23-9C16-CE68A8E71E63}"/>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811" name="Text Box 69">
          <a:extLst>
            <a:ext uri="{FF2B5EF4-FFF2-40B4-BE49-F238E27FC236}">
              <a16:creationId xmlns="" xmlns:a16="http://schemas.microsoft.com/office/drawing/2014/main" id="{9453A17E-F2C3-4E21-889C-FEB5004CC9FC}"/>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812" name="Text Box 91">
          <a:extLst>
            <a:ext uri="{FF2B5EF4-FFF2-40B4-BE49-F238E27FC236}">
              <a16:creationId xmlns="" xmlns:a16="http://schemas.microsoft.com/office/drawing/2014/main" id="{066F22D3-A85C-4951-A61A-8FE75218BD25}"/>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813" name="Text Box 92">
          <a:extLst>
            <a:ext uri="{FF2B5EF4-FFF2-40B4-BE49-F238E27FC236}">
              <a16:creationId xmlns="" xmlns:a16="http://schemas.microsoft.com/office/drawing/2014/main" id="{B582CFEA-80A6-4A37-BCA1-0567619DCC1B}"/>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814" name="Text Box 68">
          <a:extLst>
            <a:ext uri="{FF2B5EF4-FFF2-40B4-BE49-F238E27FC236}">
              <a16:creationId xmlns="" xmlns:a16="http://schemas.microsoft.com/office/drawing/2014/main" id="{EC0D8AAE-E3BE-450E-9D54-EF484E3D4E11}"/>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84" name="Text Box 69">
          <a:extLst>
            <a:ext uri="{FF2B5EF4-FFF2-40B4-BE49-F238E27FC236}">
              <a16:creationId xmlns="" xmlns:a16="http://schemas.microsoft.com/office/drawing/2014/main" id="{2377C773-CA76-4546-BA7E-AF6571291AE1}"/>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85" name="Text Box 91">
          <a:extLst>
            <a:ext uri="{FF2B5EF4-FFF2-40B4-BE49-F238E27FC236}">
              <a16:creationId xmlns="" xmlns:a16="http://schemas.microsoft.com/office/drawing/2014/main" id="{ACF39D72-E008-41B9-82B0-3AB726621434}"/>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86" name="Text Box 68">
          <a:extLst>
            <a:ext uri="{FF2B5EF4-FFF2-40B4-BE49-F238E27FC236}">
              <a16:creationId xmlns="" xmlns:a16="http://schemas.microsoft.com/office/drawing/2014/main" id="{FDD50467-4712-4122-8CB2-921A38EDDBB5}"/>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87" name="Text Box 69">
          <a:extLst>
            <a:ext uri="{FF2B5EF4-FFF2-40B4-BE49-F238E27FC236}">
              <a16:creationId xmlns="" xmlns:a16="http://schemas.microsoft.com/office/drawing/2014/main" id="{78722383-27C4-4377-B1AD-E2F74E06F664}"/>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88" name="Text Box 91">
          <a:extLst>
            <a:ext uri="{FF2B5EF4-FFF2-40B4-BE49-F238E27FC236}">
              <a16:creationId xmlns="" xmlns:a16="http://schemas.microsoft.com/office/drawing/2014/main" id="{3C70EF35-BA43-485C-A8BA-8087A024375C}"/>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89" name="Text Box 92">
          <a:extLst>
            <a:ext uri="{FF2B5EF4-FFF2-40B4-BE49-F238E27FC236}">
              <a16:creationId xmlns="" xmlns:a16="http://schemas.microsoft.com/office/drawing/2014/main" id="{CCF2A79B-90C2-4C40-9C58-08A4EA0B2516}"/>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276</xdr:row>
      <xdr:rowOff>0</xdr:rowOff>
    </xdr:from>
    <xdr:ext cx="76200" cy="232682"/>
    <xdr:sp macro="" textlink="">
      <xdr:nvSpPr>
        <xdr:cNvPr id="1990" name="Text Box 68">
          <a:extLst>
            <a:ext uri="{FF2B5EF4-FFF2-40B4-BE49-F238E27FC236}">
              <a16:creationId xmlns="" xmlns:a16="http://schemas.microsoft.com/office/drawing/2014/main" id="{983420A2-46D7-4C63-B2E6-4315225BB0AA}"/>
            </a:ext>
          </a:extLst>
        </xdr:cNvPr>
        <xdr:cNvSpPr txBox="1">
          <a:spLocks noChangeArrowheads="1"/>
        </xdr:cNvSpPr>
      </xdr:nvSpPr>
      <xdr:spPr bwMode="auto">
        <a:xfrm>
          <a:off x="6545036" y="415004250"/>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1992" name="Text Box 68">
          <a:extLst>
            <a:ext uri="{FF2B5EF4-FFF2-40B4-BE49-F238E27FC236}">
              <a16:creationId xmlns="" xmlns:a16="http://schemas.microsoft.com/office/drawing/2014/main" id="{5993C018-5EDB-45D5-B636-EA6E14201FA4}"/>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1993" name="Text Box 69">
          <a:extLst>
            <a:ext uri="{FF2B5EF4-FFF2-40B4-BE49-F238E27FC236}">
              <a16:creationId xmlns="" xmlns:a16="http://schemas.microsoft.com/office/drawing/2014/main" id="{0ED2D2D1-1489-4008-B2B6-9D4344924A5A}"/>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1994" name="Text Box 91">
          <a:extLst>
            <a:ext uri="{FF2B5EF4-FFF2-40B4-BE49-F238E27FC236}">
              <a16:creationId xmlns="" xmlns:a16="http://schemas.microsoft.com/office/drawing/2014/main" id="{2D72A76E-9A34-4658-B335-AEF8BFF8CA0B}"/>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1995" name="Text Box 92">
          <a:extLst>
            <a:ext uri="{FF2B5EF4-FFF2-40B4-BE49-F238E27FC236}">
              <a16:creationId xmlns="" xmlns:a16="http://schemas.microsoft.com/office/drawing/2014/main" id="{13FD87CB-1EAC-45E0-A4AA-621D2886577A}"/>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1996" name="Text Box 68">
          <a:extLst>
            <a:ext uri="{FF2B5EF4-FFF2-40B4-BE49-F238E27FC236}">
              <a16:creationId xmlns="" xmlns:a16="http://schemas.microsoft.com/office/drawing/2014/main" id="{06DB93C8-4175-4D94-AFBF-768F9C568032}"/>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1997" name="Text Box 69">
          <a:extLst>
            <a:ext uri="{FF2B5EF4-FFF2-40B4-BE49-F238E27FC236}">
              <a16:creationId xmlns="" xmlns:a16="http://schemas.microsoft.com/office/drawing/2014/main" id="{B18C41A3-C24E-4627-8EA3-B043517AC26A}"/>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1998" name="Text Box 91">
          <a:extLst>
            <a:ext uri="{FF2B5EF4-FFF2-40B4-BE49-F238E27FC236}">
              <a16:creationId xmlns="" xmlns:a16="http://schemas.microsoft.com/office/drawing/2014/main" id="{7EF68760-47D9-42D3-B0D3-8A65A7052C04}"/>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1999" name="Text Box 68">
          <a:extLst>
            <a:ext uri="{FF2B5EF4-FFF2-40B4-BE49-F238E27FC236}">
              <a16:creationId xmlns="" xmlns:a16="http://schemas.microsoft.com/office/drawing/2014/main" id="{A71F1056-B72B-446B-A709-7D5911036F95}"/>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2000" name="Text Box 69">
          <a:extLst>
            <a:ext uri="{FF2B5EF4-FFF2-40B4-BE49-F238E27FC236}">
              <a16:creationId xmlns="" xmlns:a16="http://schemas.microsoft.com/office/drawing/2014/main" id="{E33BAE5E-56EB-4CE6-89AF-6EB555EB6BC5}"/>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2001" name="Text Box 91">
          <a:extLst>
            <a:ext uri="{FF2B5EF4-FFF2-40B4-BE49-F238E27FC236}">
              <a16:creationId xmlns="" xmlns:a16="http://schemas.microsoft.com/office/drawing/2014/main" id="{A095ED23-08AE-4295-8B23-5D0194DE6434}"/>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2002" name="Text Box 92">
          <a:extLst>
            <a:ext uri="{FF2B5EF4-FFF2-40B4-BE49-F238E27FC236}">
              <a16:creationId xmlns="" xmlns:a16="http://schemas.microsoft.com/office/drawing/2014/main" id="{0E87603F-4A5F-4B59-A100-3FFBCD20F454}"/>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2003" name="Text Box 68">
          <a:extLst>
            <a:ext uri="{FF2B5EF4-FFF2-40B4-BE49-F238E27FC236}">
              <a16:creationId xmlns="" xmlns:a16="http://schemas.microsoft.com/office/drawing/2014/main" id="{99228930-4115-409D-9A8F-6483A2D24DCD}"/>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0</xdr:colOff>
      <xdr:row>277</xdr:row>
      <xdr:rowOff>0</xdr:rowOff>
    </xdr:from>
    <xdr:ext cx="76200" cy="232682"/>
    <xdr:sp macro="" textlink="">
      <xdr:nvSpPr>
        <xdr:cNvPr id="2004" name="Text Box 69">
          <a:extLst>
            <a:ext uri="{FF2B5EF4-FFF2-40B4-BE49-F238E27FC236}">
              <a16:creationId xmlns="" xmlns:a16="http://schemas.microsoft.com/office/drawing/2014/main" id="{BA8BD2AB-47DE-424E-8CF1-611EADCE373E}"/>
            </a:ext>
          </a:extLst>
        </xdr:cNvPr>
        <xdr:cNvSpPr txBox="1">
          <a:spLocks noChangeArrowheads="1"/>
        </xdr:cNvSpPr>
      </xdr:nvSpPr>
      <xdr:spPr bwMode="auto">
        <a:xfrm>
          <a:off x="6545036" y="415235571"/>
          <a:ext cx="76200" cy="23268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794657</xdr:colOff>
      <xdr:row>279</xdr:row>
      <xdr:rowOff>212270</xdr:rowOff>
    </xdr:from>
    <xdr:ext cx="1219200" cy="767443"/>
    <xdr:sp macro="" textlink="">
      <xdr:nvSpPr>
        <xdr:cNvPr id="2005" name="Text Box 94">
          <a:extLst>
            <a:ext uri="{FF2B5EF4-FFF2-40B4-BE49-F238E27FC236}">
              <a16:creationId xmlns="" xmlns:a16="http://schemas.microsoft.com/office/drawing/2014/main" id="{4C19FFA7-7756-4CB1-95DC-778986F6C350}"/>
            </a:ext>
          </a:extLst>
        </xdr:cNvPr>
        <xdr:cNvSpPr txBox="1">
          <a:spLocks noChangeArrowheads="1"/>
        </xdr:cNvSpPr>
      </xdr:nvSpPr>
      <xdr:spPr bwMode="auto">
        <a:xfrm flipV="1">
          <a:off x="7924800" y="417271199"/>
          <a:ext cx="1219200" cy="76744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4</xdr:col>
      <xdr:colOff>794657</xdr:colOff>
      <xdr:row>280</xdr:row>
      <xdr:rowOff>212270</xdr:rowOff>
    </xdr:from>
    <xdr:ext cx="1219200" cy="767443"/>
    <xdr:sp macro="" textlink="">
      <xdr:nvSpPr>
        <xdr:cNvPr id="2006" name="Text Box 94">
          <a:extLst>
            <a:ext uri="{FF2B5EF4-FFF2-40B4-BE49-F238E27FC236}">
              <a16:creationId xmlns="" xmlns:a16="http://schemas.microsoft.com/office/drawing/2014/main" id="{4AABB58C-8BB5-4523-B2FD-246688FF49B5}"/>
            </a:ext>
          </a:extLst>
        </xdr:cNvPr>
        <xdr:cNvSpPr txBox="1">
          <a:spLocks noChangeArrowheads="1"/>
        </xdr:cNvSpPr>
      </xdr:nvSpPr>
      <xdr:spPr bwMode="auto">
        <a:xfrm flipV="1">
          <a:off x="7924800" y="417271199"/>
          <a:ext cx="1219200" cy="76744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989</xdr:row>
      <xdr:rowOff>0</xdr:rowOff>
    </xdr:from>
    <xdr:ext cx="597025" cy="286690"/>
    <xdr:sp macro="" textlink="">
      <xdr:nvSpPr>
        <xdr:cNvPr id="2" name="Text Box 805">
          <a:extLst>
            <a:ext uri="{FF2B5EF4-FFF2-40B4-BE49-F238E27FC236}">
              <a16:creationId xmlns="" xmlns:a16="http://schemas.microsoft.com/office/drawing/2014/main" id="{FDCB9AD4-412B-4147-8E76-E4CBAF03345B}"/>
            </a:ext>
          </a:extLst>
        </xdr:cNvPr>
        <xdr:cNvSpPr txBox="1">
          <a:spLocks noChangeArrowheads="1"/>
        </xdr:cNvSpPr>
      </xdr:nvSpPr>
      <xdr:spPr bwMode="auto">
        <a:xfrm flipH="1">
          <a:off x="1828800" y="191966850"/>
          <a:ext cx="597025" cy="286690"/>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989</xdr:row>
      <xdr:rowOff>0</xdr:rowOff>
    </xdr:from>
    <xdr:ext cx="1301422" cy="338895"/>
    <xdr:sp macro="" textlink="">
      <xdr:nvSpPr>
        <xdr:cNvPr id="3" name="Text Box 805">
          <a:extLst>
            <a:ext uri="{FF2B5EF4-FFF2-40B4-BE49-F238E27FC236}">
              <a16:creationId xmlns="" xmlns:a16="http://schemas.microsoft.com/office/drawing/2014/main" id="{505D1B20-9554-463B-B182-831AD5651F53}"/>
            </a:ext>
          </a:extLst>
        </xdr:cNvPr>
        <xdr:cNvSpPr txBox="1">
          <a:spLocks noChangeArrowheads="1"/>
        </xdr:cNvSpPr>
      </xdr:nvSpPr>
      <xdr:spPr bwMode="auto">
        <a:xfrm flipH="1">
          <a:off x="1828800" y="191966850"/>
          <a:ext cx="1301422" cy="338895"/>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989</xdr:row>
      <xdr:rowOff>0</xdr:rowOff>
    </xdr:from>
    <xdr:ext cx="1312770" cy="286690"/>
    <xdr:sp macro="" textlink="">
      <xdr:nvSpPr>
        <xdr:cNvPr id="4" name="Text Box 805">
          <a:extLst>
            <a:ext uri="{FF2B5EF4-FFF2-40B4-BE49-F238E27FC236}">
              <a16:creationId xmlns="" xmlns:a16="http://schemas.microsoft.com/office/drawing/2014/main" id="{839D90F2-934F-4F8F-A5CC-34733AC4DE99}"/>
            </a:ext>
          </a:extLst>
        </xdr:cNvPr>
        <xdr:cNvSpPr txBox="1">
          <a:spLocks noChangeArrowheads="1"/>
        </xdr:cNvSpPr>
      </xdr:nvSpPr>
      <xdr:spPr bwMode="auto">
        <a:xfrm flipH="1">
          <a:off x="1828800" y="191966850"/>
          <a:ext cx="1312770" cy="286690"/>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989</xdr:row>
      <xdr:rowOff>0</xdr:rowOff>
    </xdr:from>
    <xdr:ext cx="1301422" cy="338895"/>
    <xdr:sp macro="" textlink="">
      <xdr:nvSpPr>
        <xdr:cNvPr id="5" name="Text Box 805">
          <a:extLst>
            <a:ext uri="{FF2B5EF4-FFF2-40B4-BE49-F238E27FC236}">
              <a16:creationId xmlns="" xmlns:a16="http://schemas.microsoft.com/office/drawing/2014/main" id="{AAA487F7-B32A-49AB-9F4F-12FBB8D16D79}"/>
            </a:ext>
          </a:extLst>
        </xdr:cNvPr>
        <xdr:cNvSpPr txBox="1">
          <a:spLocks noChangeArrowheads="1"/>
        </xdr:cNvSpPr>
      </xdr:nvSpPr>
      <xdr:spPr bwMode="auto">
        <a:xfrm flipH="1">
          <a:off x="1828800" y="191966850"/>
          <a:ext cx="1301422" cy="338895"/>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989</xdr:row>
      <xdr:rowOff>0</xdr:rowOff>
    </xdr:from>
    <xdr:ext cx="597025" cy="163607"/>
    <xdr:sp macro="" textlink="">
      <xdr:nvSpPr>
        <xdr:cNvPr id="6" name="Text Box 805">
          <a:extLst>
            <a:ext uri="{FF2B5EF4-FFF2-40B4-BE49-F238E27FC236}">
              <a16:creationId xmlns="" xmlns:a16="http://schemas.microsoft.com/office/drawing/2014/main" id="{E8DF93B4-0F27-4CF6-88D7-67EA28FC6B61}"/>
            </a:ext>
          </a:extLst>
        </xdr:cNvPr>
        <xdr:cNvSpPr txBox="1">
          <a:spLocks noChangeArrowheads="1"/>
        </xdr:cNvSpPr>
      </xdr:nvSpPr>
      <xdr:spPr bwMode="auto">
        <a:xfrm flipH="1">
          <a:off x="1828800" y="192195450"/>
          <a:ext cx="597025" cy="163607"/>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989</xdr:row>
      <xdr:rowOff>0</xdr:rowOff>
    </xdr:from>
    <xdr:ext cx="1301422" cy="219179"/>
    <xdr:sp macro="" textlink="">
      <xdr:nvSpPr>
        <xdr:cNvPr id="7" name="Text Box 805">
          <a:extLst>
            <a:ext uri="{FF2B5EF4-FFF2-40B4-BE49-F238E27FC236}">
              <a16:creationId xmlns="" xmlns:a16="http://schemas.microsoft.com/office/drawing/2014/main" id="{8CF02B5E-A6A3-437C-B332-C63037C94716}"/>
            </a:ext>
          </a:extLst>
        </xdr:cNvPr>
        <xdr:cNvSpPr txBox="1">
          <a:spLocks noChangeArrowheads="1"/>
        </xdr:cNvSpPr>
      </xdr:nvSpPr>
      <xdr:spPr bwMode="auto">
        <a:xfrm flipH="1">
          <a:off x="1828800" y="192195450"/>
          <a:ext cx="1301422" cy="219179"/>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996</xdr:row>
      <xdr:rowOff>0</xdr:rowOff>
    </xdr:from>
    <xdr:ext cx="1301422" cy="274895"/>
    <xdr:sp macro="" textlink="">
      <xdr:nvSpPr>
        <xdr:cNvPr id="8" name="Text Box 805">
          <a:extLst>
            <a:ext uri="{FF2B5EF4-FFF2-40B4-BE49-F238E27FC236}">
              <a16:creationId xmlns="" xmlns:a16="http://schemas.microsoft.com/office/drawing/2014/main" id="{F2AF0C92-8954-4EE6-9889-0B607555B6D1}"/>
            </a:ext>
          </a:extLst>
        </xdr:cNvPr>
        <xdr:cNvSpPr txBox="1">
          <a:spLocks noChangeArrowheads="1"/>
        </xdr:cNvSpPr>
      </xdr:nvSpPr>
      <xdr:spPr bwMode="auto">
        <a:xfrm flipH="1">
          <a:off x="1828800" y="194443350"/>
          <a:ext cx="1301422" cy="274895"/>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996</xdr:row>
      <xdr:rowOff>0</xdr:rowOff>
    </xdr:from>
    <xdr:ext cx="1312770" cy="229947"/>
    <xdr:sp macro="" textlink="">
      <xdr:nvSpPr>
        <xdr:cNvPr id="9" name="Text Box 805">
          <a:extLst>
            <a:ext uri="{FF2B5EF4-FFF2-40B4-BE49-F238E27FC236}">
              <a16:creationId xmlns="" xmlns:a16="http://schemas.microsoft.com/office/drawing/2014/main" id="{67806FBB-FE6D-4009-B1DF-E46471937B73}"/>
            </a:ext>
          </a:extLst>
        </xdr:cNvPr>
        <xdr:cNvSpPr txBox="1">
          <a:spLocks noChangeArrowheads="1"/>
        </xdr:cNvSpPr>
      </xdr:nvSpPr>
      <xdr:spPr bwMode="auto">
        <a:xfrm flipH="1">
          <a:off x="1828800" y="194443350"/>
          <a:ext cx="1312770" cy="229947"/>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996</xdr:row>
      <xdr:rowOff>0</xdr:rowOff>
    </xdr:from>
    <xdr:ext cx="1301422" cy="274895"/>
    <xdr:sp macro="" textlink="">
      <xdr:nvSpPr>
        <xdr:cNvPr id="10" name="Text Box 805">
          <a:extLst>
            <a:ext uri="{FF2B5EF4-FFF2-40B4-BE49-F238E27FC236}">
              <a16:creationId xmlns="" xmlns:a16="http://schemas.microsoft.com/office/drawing/2014/main" id="{778B7317-9012-4D0A-BDDC-5B917990B88F}"/>
            </a:ext>
          </a:extLst>
        </xdr:cNvPr>
        <xdr:cNvSpPr txBox="1">
          <a:spLocks noChangeArrowheads="1"/>
        </xdr:cNvSpPr>
      </xdr:nvSpPr>
      <xdr:spPr bwMode="auto">
        <a:xfrm flipH="1">
          <a:off x="1828800" y="194443350"/>
          <a:ext cx="1301422" cy="274895"/>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996</xdr:row>
      <xdr:rowOff>0</xdr:rowOff>
    </xdr:from>
    <xdr:ext cx="1301422" cy="274895"/>
    <xdr:sp macro="" textlink="">
      <xdr:nvSpPr>
        <xdr:cNvPr id="11" name="Text Box 805">
          <a:extLst>
            <a:ext uri="{FF2B5EF4-FFF2-40B4-BE49-F238E27FC236}">
              <a16:creationId xmlns="" xmlns:a16="http://schemas.microsoft.com/office/drawing/2014/main" id="{D4911227-B970-446B-8F49-529A3047DFC5}"/>
            </a:ext>
          </a:extLst>
        </xdr:cNvPr>
        <xdr:cNvSpPr txBox="1">
          <a:spLocks noChangeArrowheads="1"/>
        </xdr:cNvSpPr>
      </xdr:nvSpPr>
      <xdr:spPr bwMode="auto">
        <a:xfrm flipH="1">
          <a:off x="1828800" y="194443350"/>
          <a:ext cx="1301422" cy="274895"/>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996</xdr:row>
      <xdr:rowOff>0</xdr:rowOff>
    </xdr:from>
    <xdr:ext cx="1312770" cy="229947"/>
    <xdr:sp macro="" textlink="">
      <xdr:nvSpPr>
        <xdr:cNvPr id="12" name="Text Box 805">
          <a:extLst>
            <a:ext uri="{FF2B5EF4-FFF2-40B4-BE49-F238E27FC236}">
              <a16:creationId xmlns="" xmlns:a16="http://schemas.microsoft.com/office/drawing/2014/main" id="{C7442932-E7B8-4595-8C33-F892FE826FF0}"/>
            </a:ext>
          </a:extLst>
        </xdr:cNvPr>
        <xdr:cNvSpPr txBox="1">
          <a:spLocks noChangeArrowheads="1"/>
        </xdr:cNvSpPr>
      </xdr:nvSpPr>
      <xdr:spPr bwMode="auto">
        <a:xfrm flipH="1">
          <a:off x="1828800" y="194443350"/>
          <a:ext cx="1312770" cy="229947"/>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996</xdr:row>
      <xdr:rowOff>0</xdr:rowOff>
    </xdr:from>
    <xdr:ext cx="1301422" cy="274895"/>
    <xdr:sp macro="" textlink="">
      <xdr:nvSpPr>
        <xdr:cNvPr id="13" name="Text Box 805">
          <a:extLst>
            <a:ext uri="{FF2B5EF4-FFF2-40B4-BE49-F238E27FC236}">
              <a16:creationId xmlns="" xmlns:a16="http://schemas.microsoft.com/office/drawing/2014/main" id="{CBAEB852-463B-44E9-B902-57C5116D765A}"/>
            </a:ext>
          </a:extLst>
        </xdr:cNvPr>
        <xdr:cNvSpPr txBox="1">
          <a:spLocks noChangeArrowheads="1"/>
        </xdr:cNvSpPr>
      </xdr:nvSpPr>
      <xdr:spPr bwMode="auto">
        <a:xfrm flipH="1">
          <a:off x="1828800" y="194443350"/>
          <a:ext cx="1301422" cy="274895"/>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1000</xdr:row>
      <xdr:rowOff>0</xdr:rowOff>
    </xdr:from>
    <xdr:ext cx="1301422" cy="287799"/>
    <xdr:sp macro="" textlink="">
      <xdr:nvSpPr>
        <xdr:cNvPr id="14" name="Text Box 805">
          <a:extLst>
            <a:ext uri="{FF2B5EF4-FFF2-40B4-BE49-F238E27FC236}">
              <a16:creationId xmlns="" xmlns:a16="http://schemas.microsoft.com/office/drawing/2014/main" id="{7146FF3D-45A7-4722-8468-CE4501958EA8}"/>
            </a:ext>
          </a:extLst>
        </xdr:cNvPr>
        <xdr:cNvSpPr txBox="1">
          <a:spLocks noChangeArrowheads="1"/>
        </xdr:cNvSpPr>
      </xdr:nvSpPr>
      <xdr:spPr bwMode="auto">
        <a:xfrm flipH="1">
          <a:off x="1828800" y="195224400"/>
          <a:ext cx="1301422" cy="287799"/>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1000</xdr:row>
      <xdr:rowOff>0</xdr:rowOff>
    </xdr:from>
    <xdr:ext cx="1301422" cy="287799"/>
    <xdr:sp macro="" textlink="">
      <xdr:nvSpPr>
        <xdr:cNvPr id="15" name="Text Box 805">
          <a:extLst>
            <a:ext uri="{FF2B5EF4-FFF2-40B4-BE49-F238E27FC236}">
              <a16:creationId xmlns="" xmlns:a16="http://schemas.microsoft.com/office/drawing/2014/main" id="{3845381A-61AD-42D4-B75C-D7224C131320}"/>
            </a:ext>
          </a:extLst>
        </xdr:cNvPr>
        <xdr:cNvSpPr txBox="1">
          <a:spLocks noChangeArrowheads="1"/>
        </xdr:cNvSpPr>
      </xdr:nvSpPr>
      <xdr:spPr bwMode="auto">
        <a:xfrm flipH="1">
          <a:off x="1828800" y="195224400"/>
          <a:ext cx="1301422" cy="287799"/>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1016</xdr:row>
      <xdr:rowOff>0</xdr:rowOff>
    </xdr:from>
    <xdr:ext cx="1301422" cy="546147"/>
    <xdr:sp macro="" textlink="">
      <xdr:nvSpPr>
        <xdr:cNvPr id="16" name="Text Box 805">
          <a:extLst>
            <a:ext uri="{FF2B5EF4-FFF2-40B4-BE49-F238E27FC236}">
              <a16:creationId xmlns="" xmlns:a16="http://schemas.microsoft.com/office/drawing/2014/main" id="{CC9C22EC-79AC-41E8-A9C8-6C6E01505CD0}"/>
            </a:ext>
          </a:extLst>
        </xdr:cNvPr>
        <xdr:cNvSpPr txBox="1">
          <a:spLocks noChangeArrowheads="1"/>
        </xdr:cNvSpPr>
      </xdr:nvSpPr>
      <xdr:spPr bwMode="auto">
        <a:xfrm flipH="1">
          <a:off x="1828800" y="198767700"/>
          <a:ext cx="1301422" cy="546147"/>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1016</xdr:row>
      <xdr:rowOff>0</xdr:rowOff>
    </xdr:from>
    <xdr:ext cx="1301422" cy="546147"/>
    <xdr:sp macro="" textlink="">
      <xdr:nvSpPr>
        <xdr:cNvPr id="17" name="Text Box 805">
          <a:extLst>
            <a:ext uri="{FF2B5EF4-FFF2-40B4-BE49-F238E27FC236}">
              <a16:creationId xmlns="" xmlns:a16="http://schemas.microsoft.com/office/drawing/2014/main" id="{E89EB00C-C158-4424-9D66-A7B088C4A50A}"/>
            </a:ext>
          </a:extLst>
        </xdr:cNvPr>
        <xdr:cNvSpPr txBox="1">
          <a:spLocks noChangeArrowheads="1"/>
        </xdr:cNvSpPr>
      </xdr:nvSpPr>
      <xdr:spPr bwMode="auto">
        <a:xfrm flipH="1">
          <a:off x="1828800" y="198767700"/>
          <a:ext cx="1301422" cy="546147"/>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1016</xdr:row>
      <xdr:rowOff>0</xdr:rowOff>
    </xdr:from>
    <xdr:ext cx="1312770" cy="458777"/>
    <xdr:sp macro="" textlink="">
      <xdr:nvSpPr>
        <xdr:cNvPr id="18" name="Text Box 805">
          <a:extLst>
            <a:ext uri="{FF2B5EF4-FFF2-40B4-BE49-F238E27FC236}">
              <a16:creationId xmlns="" xmlns:a16="http://schemas.microsoft.com/office/drawing/2014/main" id="{876626F3-1CA2-4227-AF98-46CA8BE36FD8}"/>
            </a:ext>
          </a:extLst>
        </xdr:cNvPr>
        <xdr:cNvSpPr txBox="1">
          <a:spLocks noChangeArrowheads="1"/>
        </xdr:cNvSpPr>
      </xdr:nvSpPr>
      <xdr:spPr bwMode="auto">
        <a:xfrm flipH="1">
          <a:off x="1828800" y="198767700"/>
          <a:ext cx="1312770" cy="458777"/>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1016</xdr:row>
      <xdr:rowOff>0</xdr:rowOff>
    </xdr:from>
    <xdr:ext cx="1301422" cy="546147"/>
    <xdr:sp macro="" textlink="">
      <xdr:nvSpPr>
        <xdr:cNvPr id="19" name="Text Box 805">
          <a:extLst>
            <a:ext uri="{FF2B5EF4-FFF2-40B4-BE49-F238E27FC236}">
              <a16:creationId xmlns="" xmlns:a16="http://schemas.microsoft.com/office/drawing/2014/main" id="{D3E6C370-3F23-4174-97EB-2D504C15AB36}"/>
            </a:ext>
          </a:extLst>
        </xdr:cNvPr>
        <xdr:cNvSpPr txBox="1">
          <a:spLocks noChangeArrowheads="1"/>
        </xdr:cNvSpPr>
      </xdr:nvSpPr>
      <xdr:spPr bwMode="auto">
        <a:xfrm flipH="1">
          <a:off x="1828800" y="198767700"/>
          <a:ext cx="1301422" cy="546147"/>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1016</xdr:row>
      <xdr:rowOff>0</xdr:rowOff>
    </xdr:from>
    <xdr:ext cx="1301422" cy="546147"/>
    <xdr:sp macro="" textlink="">
      <xdr:nvSpPr>
        <xdr:cNvPr id="20" name="Text Box 805">
          <a:extLst>
            <a:ext uri="{FF2B5EF4-FFF2-40B4-BE49-F238E27FC236}">
              <a16:creationId xmlns="" xmlns:a16="http://schemas.microsoft.com/office/drawing/2014/main" id="{C0953726-01F8-413D-AE61-F14D4FE45881}"/>
            </a:ext>
          </a:extLst>
        </xdr:cNvPr>
        <xdr:cNvSpPr txBox="1">
          <a:spLocks noChangeArrowheads="1"/>
        </xdr:cNvSpPr>
      </xdr:nvSpPr>
      <xdr:spPr bwMode="auto">
        <a:xfrm flipH="1">
          <a:off x="1828800" y="198767700"/>
          <a:ext cx="1301422" cy="546147"/>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1001</xdr:row>
      <xdr:rowOff>0</xdr:rowOff>
    </xdr:from>
    <xdr:ext cx="1301422" cy="429525"/>
    <xdr:sp macro="" textlink="">
      <xdr:nvSpPr>
        <xdr:cNvPr id="21" name="Text Box 805">
          <a:extLst>
            <a:ext uri="{FF2B5EF4-FFF2-40B4-BE49-F238E27FC236}">
              <a16:creationId xmlns="" xmlns:a16="http://schemas.microsoft.com/office/drawing/2014/main" id="{9C92C048-A712-40D4-9E55-E36C9DB75EBD}"/>
            </a:ext>
          </a:extLst>
        </xdr:cNvPr>
        <xdr:cNvSpPr txBox="1">
          <a:spLocks noChangeArrowheads="1"/>
        </xdr:cNvSpPr>
      </xdr:nvSpPr>
      <xdr:spPr bwMode="auto">
        <a:xfrm flipH="1">
          <a:off x="1828800" y="195453000"/>
          <a:ext cx="1301422" cy="429525"/>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1001</xdr:row>
      <xdr:rowOff>0</xdr:rowOff>
    </xdr:from>
    <xdr:ext cx="1301422" cy="429525"/>
    <xdr:sp macro="" textlink="">
      <xdr:nvSpPr>
        <xdr:cNvPr id="22" name="Text Box 805">
          <a:extLst>
            <a:ext uri="{FF2B5EF4-FFF2-40B4-BE49-F238E27FC236}">
              <a16:creationId xmlns="" xmlns:a16="http://schemas.microsoft.com/office/drawing/2014/main" id="{E61AFF74-B6EC-4DED-B1EC-0608777D1AD8}"/>
            </a:ext>
          </a:extLst>
        </xdr:cNvPr>
        <xdr:cNvSpPr txBox="1">
          <a:spLocks noChangeArrowheads="1"/>
        </xdr:cNvSpPr>
      </xdr:nvSpPr>
      <xdr:spPr bwMode="auto">
        <a:xfrm flipH="1">
          <a:off x="1828800" y="195453000"/>
          <a:ext cx="1301422" cy="429525"/>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1002</xdr:row>
      <xdr:rowOff>0</xdr:rowOff>
    </xdr:from>
    <xdr:ext cx="1301422" cy="452349"/>
    <xdr:sp macro="" textlink="">
      <xdr:nvSpPr>
        <xdr:cNvPr id="23" name="Text Box 805">
          <a:extLst>
            <a:ext uri="{FF2B5EF4-FFF2-40B4-BE49-F238E27FC236}">
              <a16:creationId xmlns="" xmlns:a16="http://schemas.microsoft.com/office/drawing/2014/main" id="{F2A51500-57CC-480E-B12A-20706CEB0E99}"/>
            </a:ext>
          </a:extLst>
        </xdr:cNvPr>
        <xdr:cNvSpPr txBox="1">
          <a:spLocks noChangeArrowheads="1"/>
        </xdr:cNvSpPr>
      </xdr:nvSpPr>
      <xdr:spPr bwMode="auto">
        <a:xfrm flipH="1">
          <a:off x="1828800" y="195681600"/>
          <a:ext cx="1301422" cy="452349"/>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1002</xdr:row>
      <xdr:rowOff>0</xdr:rowOff>
    </xdr:from>
    <xdr:ext cx="1301422" cy="452349"/>
    <xdr:sp macro="" textlink="">
      <xdr:nvSpPr>
        <xdr:cNvPr id="24" name="Text Box 805">
          <a:extLst>
            <a:ext uri="{FF2B5EF4-FFF2-40B4-BE49-F238E27FC236}">
              <a16:creationId xmlns="" xmlns:a16="http://schemas.microsoft.com/office/drawing/2014/main" id="{D2572D2E-0C28-48D2-A538-F791FEA2953C}"/>
            </a:ext>
          </a:extLst>
        </xdr:cNvPr>
        <xdr:cNvSpPr txBox="1">
          <a:spLocks noChangeArrowheads="1"/>
        </xdr:cNvSpPr>
      </xdr:nvSpPr>
      <xdr:spPr bwMode="auto">
        <a:xfrm flipH="1">
          <a:off x="1828800" y="195681600"/>
          <a:ext cx="1301422" cy="452349"/>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1003</xdr:row>
      <xdr:rowOff>0</xdr:rowOff>
    </xdr:from>
    <xdr:ext cx="1301422" cy="285934"/>
    <xdr:sp macro="" textlink="">
      <xdr:nvSpPr>
        <xdr:cNvPr id="25" name="Text Box 805">
          <a:extLst>
            <a:ext uri="{FF2B5EF4-FFF2-40B4-BE49-F238E27FC236}">
              <a16:creationId xmlns="" xmlns:a16="http://schemas.microsoft.com/office/drawing/2014/main" id="{36A6A4EB-EB69-49AF-9E2C-0566FA26BF3C}"/>
            </a:ext>
          </a:extLst>
        </xdr:cNvPr>
        <xdr:cNvSpPr txBox="1">
          <a:spLocks noChangeArrowheads="1"/>
        </xdr:cNvSpPr>
      </xdr:nvSpPr>
      <xdr:spPr bwMode="auto">
        <a:xfrm flipH="1">
          <a:off x="1828800" y="195910200"/>
          <a:ext cx="1301422" cy="285934"/>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1003</xdr:row>
      <xdr:rowOff>0</xdr:rowOff>
    </xdr:from>
    <xdr:ext cx="1301422" cy="285934"/>
    <xdr:sp macro="" textlink="">
      <xdr:nvSpPr>
        <xdr:cNvPr id="26" name="Text Box 805">
          <a:extLst>
            <a:ext uri="{FF2B5EF4-FFF2-40B4-BE49-F238E27FC236}">
              <a16:creationId xmlns="" xmlns:a16="http://schemas.microsoft.com/office/drawing/2014/main" id="{53CA2C17-579C-4FE9-8F80-37427FEBB9F2}"/>
            </a:ext>
          </a:extLst>
        </xdr:cNvPr>
        <xdr:cNvSpPr txBox="1">
          <a:spLocks noChangeArrowheads="1"/>
        </xdr:cNvSpPr>
      </xdr:nvSpPr>
      <xdr:spPr bwMode="auto">
        <a:xfrm flipH="1">
          <a:off x="1828800" y="195910200"/>
          <a:ext cx="1301422" cy="285934"/>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1004</xdr:row>
      <xdr:rowOff>0</xdr:rowOff>
    </xdr:from>
    <xdr:ext cx="1301422" cy="375817"/>
    <xdr:sp macro="" textlink="">
      <xdr:nvSpPr>
        <xdr:cNvPr id="27" name="Text Box 805">
          <a:extLst>
            <a:ext uri="{FF2B5EF4-FFF2-40B4-BE49-F238E27FC236}">
              <a16:creationId xmlns="" xmlns:a16="http://schemas.microsoft.com/office/drawing/2014/main" id="{27275A16-5341-4517-858A-C464B32E0C75}"/>
            </a:ext>
          </a:extLst>
        </xdr:cNvPr>
        <xdr:cNvSpPr txBox="1">
          <a:spLocks noChangeArrowheads="1"/>
        </xdr:cNvSpPr>
      </xdr:nvSpPr>
      <xdr:spPr bwMode="auto">
        <a:xfrm flipH="1">
          <a:off x="1828800" y="196138800"/>
          <a:ext cx="1301422" cy="375817"/>
        </a:xfrm>
        <a:prstGeom prst="rect">
          <a:avLst/>
        </a:prstGeom>
        <a:noFill/>
        <a:ln w="9525">
          <a:noFill/>
          <a:miter lim="800000"/>
          <a:headEnd/>
          <a:tailEnd/>
        </a:ln>
      </xdr:spPr>
      <xdr:txBody>
        <a:bodyPr/>
        <a:lstStyle/>
        <a:p>
          <a:endParaRPr lang="en-US"/>
        </a:p>
        <a:p>
          <a:endParaRPr lang="en-US"/>
        </a:p>
      </xdr:txBody>
    </xdr:sp>
    <xdr:clientData/>
  </xdr:oneCellAnchor>
  <xdr:oneCellAnchor>
    <xdr:from>
      <xdr:col>3</xdr:col>
      <xdr:colOff>0</xdr:colOff>
      <xdr:row>1004</xdr:row>
      <xdr:rowOff>0</xdr:rowOff>
    </xdr:from>
    <xdr:ext cx="1301422" cy="375817"/>
    <xdr:sp macro="" textlink="">
      <xdr:nvSpPr>
        <xdr:cNvPr id="28" name="Text Box 805">
          <a:extLst>
            <a:ext uri="{FF2B5EF4-FFF2-40B4-BE49-F238E27FC236}">
              <a16:creationId xmlns="" xmlns:a16="http://schemas.microsoft.com/office/drawing/2014/main" id="{758AA8DB-4A7C-4B27-86A6-31AFBCD6FDE7}"/>
            </a:ext>
          </a:extLst>
        </xdr:cNvPr>
        <xdr:cNvSpPr txBox="1">
          <a:spLocks noChangeArrowheads="1"/>
        </xdr:cNvSpPr>
      </xdr:nvSpPr>
      <xdr:spPr bwMode="auto">
        <a:xfrm flipH="1">
          <a:off x="1828800" y="196138800"/>
          <a:ext cx="1301422" cy="375817"/>
        </a:xfrm>
        <a:prstGeom prst="rect">
          <a:avLst/>
        </a:prstGeom>
        <a:noFill/>
        <a:ln w="9525">
          <a:noFill/>
          <a:miter lim="800000"/>
          <a:headEnd/>
          <a:tailEnd/>
        </a:ln>
      </xdr:spPr>
      <xdr:txBody>
        <a:bodyPr/>
        <a:lstStyle/>
        <a:p>
          <a:endParaRPr lang="en-US"/>
        </a:p>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217714</xdr:colOff>
      <xdr:row>5</xdr:row>
      <xdr:rowOff>68036</xdr:rowOff>
    </xdr:from>
    <xdr:ext cx="830036" cy="998287"/>
    <xdr:pic>
      <xdr:nvPicPr>
        <xdr:cNvPr id="2" name="Picture 1">
          <a:extLst>
            <a:ext uri="{FF2B5EF4-FFF2-40B4-BE49-F238E27FC236}">
              <a16:creationId xmlns="" xmlns:a16="http://schemas.microsoft.com/office/drawing/2014/main" id="{D1570390-A5E5-4ED2-8DD2-3F146D1D84D4}"/>
            </a:ext>
          </a:extLst>
        </xdr:cNvPr>
        <xdr:cNvPicPr>
          <a:picLocks noChangeAspect="1"/>
        </xdr:cNvPicPr>
      </xdr:nvPicPr>
      <xdr:blipFill>
        <a:blip xmlns:r="http://schemas.openxmlformats.org/officeDocument/2006/relationships" r:embed="rId1"/>
        <a:stretch>
          <a:fillRect/>
        </a:stretch>
      </xdr:blipFill>
      <xdr:spPr>
        <a:xfrm>
          <a:off x="9241064" y="1801586"/>
          <a:ext cx="830036" cy="998287"/>
        </a:xfrm>
        <a:prstGeom prst="rect">
          <a:avLst/>
        </a:prstGeom>
      </xdr:spPr>
    </xdr:pic>
    <xdr:clientData/>
  </xdr:oneCellAnchor>
  <xdr:twoCellAnchor editAs="oneCell">
    <xdr:from>
      <xdr:col>7</xdr:col>
      <xdr:colOff>435429</xdr:colOff>
      <xdr:row>8</xdr:row>
      <xdr:rowOff>13607</xdr:rowOff>
    </xdr:from>
    <xdr:to>
      <xdr:col>7</xdr:col>
      <xdr:colOff>825955</xdr:colOff>
      <xdr:row>8</xdr:row>
      <xdr:rowOff>900425</xdr:rowOff>
    </xdr:to>
    <xdr:pic>
      <xdr:nvPicPr>
        <xdr:cNvPr id="3" name="Picture 2" descr="Brown Single Door Wardrobe, For Home at Rs 15500/piece in Hyderabad | ID:  22874743362">
          <a:extLst>
            <a:ext uri="{FF2B5EF4-FFF2-40B4-BE49-F238E27FC236}">
              <a16:creationId xmlns="" xmlns:a16="http://schemas.microsoft.com/office/drawing/2014/main" id="{B9C9FAD0-E4A7-4261-97A7-1DB3705EDBF4}"/>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33950" t="7400" r="34157" b="5400"/>
        <a:stretch/>
      </xdr:blipFill>
      <xdr:spPr bwMode="auto">
        <a:xfrm>
          <a:off x="9458779" y="4153807"/>
          <a:ext cx="390526" cy="88681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272143</xdr:colOff>
      <xdr:row>6</xdr:row>
      <xdr:rowOff>95250</xdr:rowOff>
    </xdr:from>
    <xdr:to>
      <xdr:col>7</xdr:col>
      <xdr:colOff>1075208</xdr:colOff>
      <xdr:row>6</xdr:row>
      <xdr:rowOff>1009649</xdr:rowOff>
    </xdr:to>
    <xdr:pic>
      <xdr:nvPicPr>
        <xdr:cNvPr id="4" name="Picture 3">
          <a:extLst>
            <a:ext uri="{FF2B5EF4-FFF2-40B4-BE49-F238E27FC236}">
              <a16:creationId xmlns="" xmlns:a16="http://schemas.microsoft.com/office/drawing/2014/main" id="{601C9196-7E0F-4AF9-A86D-CB78F36FFF84}"/>
            </a:ext>
          </a:extLst>
        </xdr:cNvPr>
        <xdr:cNvPicPr>
          <a:picLocks noChangeAspect="1"/>
        </xdr:cNvPicPr>
      </xdr:nvPicPr>
      <xdr:blipFill rotWithShape="1">
        <a:blip xmlns:r="http://schemas.openxmlformats.org/officeDocument/2006/relationships" r:embed="rId3" cstate="print">
          <a:extLst>
            <a:ext uri="{28A0092B-C50C-407E-A947-70E740481C1C}">
              <a14:useLocalDpi xmlns="" xmlns:a14="http://schemas.microsoft.com/office/drawing/2010/main" val="0"/>
            </a:ext>
          </a:extLst>
        </a:blip>
        <a:srcRect l="24310" t="12270" r="25076" b="10890"/>
        <a:stretch/>
      </xdr:blipFill>
      <xdr:spPr>
        <a:xfrm>
          <a:off x="9295493" y="2933700"/>
          <a:ext cx="803065" cy="914399"/>
        </a:xfrm>
        <a:prstGeom prst="rect">
          <a:avLst/>
        </a:prstGeom>
      </xdr:spPr>
    </xdr:pic>
    <xdr:clientData/>
  </xdr:twoCellAnchor>
  <xdr:twoCellAnchor editAs="oneCell">
    <xdr:from>
      <xdr:col>7</xdr:col>
      <xdr:colOff>122464</xdr:colOff>
      <xdr:row>9</xdr:row>
      <xdr:rowOff>163286</xdr:rowOff>
    </xdr:from>
    <xdr:to>
      <xdr:col>7</xdr:col>
      <xdr:colOff>1265464</xdr:colOff>
      <xdr:row>9</xdr:row>
      <xdr:rowOff>1020536</xdr:rowOff>
    </xdr:to>
    <xdr:pic>
      <xdr:nvPicPr>
        <xdr:cNvPr id="5" name="Picture 4" descr="Modular Kitchen Design at best price in Bengaluru | ID: 23093223473">
          <a:extLst>
            <a:ext uri="{FF2B5EF4-FFF2-40B4-BE49-F238E27FC236}">
              <a16:creationId xmlns="" xmlns:a16="http://schemas.microsoft.com/office/drawing/2014/main" id="{89F73538-0919-46CF-A499-4D1068AF35F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9145814" y="5287736"/>
          <a:ext cx="1143000" cy="857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340178</xdr:colOff>
      <xdr:row>10</xdr:row>
      <xdr:rowOff>163286</xdr:rowOff>
    </xdr:from>
    <xdr:to>
      <xdr:col>7</xdr:col>
      <xdr:colOff>1070676</xdr:colOff>
      <xdr:row>10</xdr:row>
      <xdr:rowOff>1068161</xdr:rowOff>
    </xdr:to>
    <xdr:pic>
      <xdr:nvPicPr>
        <xdr:cNvPr id="6" name="Picture 5" descr="Janitor cupboards with doors | Janitor supplies storage">
          <a:extLst>
            <a:ext uri="{FF2B5EF4-FFF2-40B4-BE49-F238E27FC236}">
              <a16:creationId xmlns="" xmlns:a16="http://schemas.microsoft.com/office/drawing/2014/main" id="{52454513-F6D4-4512-ADF4-0F3E3208CE9F}"/>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 xmlns:a14="http://schemas.microsoft.com/office/drawing/2010/main" val="0"/>
            </a:ext>
          </a:extLst>
        </a:blip>
        <a:srcRect l="16797" r="37793"/>
        <a:stretch/>
      </xdr:blipFill>
      <xdr:spPr bwMode="auto">
        <a:xfrm>
          <a:off x="9363528" y="6583136"/>
          <a:ext cx="730498" cy="9048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258536</xdr:colOff>
      <xdr:row>9</xdr:row>
      <xdr:rowOff>95250</xdr:rowOff>
    </xdr:from>
    <xdr:to>
      <xdr:col>7</xdr:col>
      <xdr:colOff>2435678</xdr:colOff>
      <xdr:row>9</xdr:row>
      <xdr:rowOff>1873546</xdr:rowOff>
    </xdr:to>
    <xdr:pic>
      <xdr:nvPicPr>
        <xdr:cNvPr id="2" name="Picture 1" descr="Anikaa Grady Engineered Wood Study Table, Writing Desk, Computer Desk, Study  Desk, Office Desk, Small Office Table, Laptop Table with Drawer, Computer  Table (White) (D.I.Y) Matte Finish : Amazon.in: Home &amp; Kitchen">
          <a:extLst>
            <a:ext uri="{FF2B5EF4-FFF2-40B4-BE49-F238E27FC236}">
              <a16:creationId xmlns="" xmlns:a16="http://schemas.microsoft.com/office/drawing/2014/main" id="{860BC431-7E79-4D06-AAD6-2628E689F2A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l="8609" t="37131" r="16869" b="2000"/>
        <a:stretch/>
      </xdr:blipFill>
      <xdr:spPr bwMode="auto">
        <a:xfrm>
          <a:off x="9192986" y="7651750"/>
          <a:ext cx="2177142" cy="177829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734784</xdr:colOff>
      <xdr:row>10</xdr:row>
      <xdr:rowOff>149677</xdr:rowOff>
    </xdr:from>
    <xdr:to>
      <xdr:col>7</xdr:col>
      <xdr:colOff>1707771</xdr:colOff>
      <xdr:row>10</xdr:row>
      <xdr:rowOff>1319892</xdr:rowOff>
    </xdr:to>
    <xdr:pic>
      <xdr:nvPicPr>
        <xdr:cNvPr id="3" name="Picture 2">
          <a:extLst>
            <a:ext uri="{FF2B5EF4-FFF2-40B4-BE49-F238E27FC236}">
              <a16:creationId xmlns="" xmlns:a16="http://schemas.microsoft.com/office/drawing/2014/main" id="{8226B9C3-D30B-46F4-BE2C-972CCE1E7664}"/>
            </a:ext>
          </a:extLst>
        </xdr:cNvPr>
        <xdr:cNvPicPr>
          <a:picLocks noChangeAspect="1"/>
        </xdr:cNvPicPr>
      </xdr:nvPicPr>
      <xdr:blipFill>
        <a:blip xmlns:r="http://schemas.openxmlformats.org/officeDocument/2006/relationships" r:embed="rId2"/>
        <a:stretch>
          <a:fillRect/>
        </a:stretch>
      </xdr:blipFill>
      <xdr:spPr>
        <a:xfrm>
          <a:off x="9669234" y="9668327"/>
          <a:ext cx="972987" cy="1170215"/>
        </a:xfrm>
        <a:prstGeom prst="rect">
          <a:avLst/>
        </a:prstGeom>
      </xdr:spPr>
    </xdr:pic>
    <xdr:clientData/>
  </xdr:twoCellAnchor>
  <xdr:twoCellAnchor editAs="oneCell">
    <xdr:from>
      <xdr:col>7</xdr:col>
      <xdr:colOff>367392</xdr:colOff>
      <xdr:row>7</xdr:row>
      <xdr:rowOff>340177</xdr:rowOff>
    </xdr:from>
    <xdr:to>
      <xdr:col>7</xdr:col>
      <xdr:colOff>2359649</xdr:colOff>
      <xdr:row>7</xdr:row>
      <xdr:rowOff>1728106</xdr:rowOff>
    </xdr:to>
    <xdr:pic>
      <xdr:nvPicPr>
        <xdr:cNvPr id="4" name="Picture 3" descr="Nilkamal Arthur Single Bed without Storage - Nilkamal Furniture">
          <a:extLst>
            <a:ext uri="{FF2B5EF4-FFF2-40B4-BE49-F238E27FC236}">
              <a16:creationId xmlns="" xmlns:a16="http://schemas.microsoft.com/office/drawing/2014/main" id="{36807648-B0FF-41EB-BC33-49E1023C53C7}"/>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 xmlns:a14="http://schemas.microsoft.com/office/drawing/2010/main" val="0"/>
            </a:ext>
          </a:extLst>
        </a:blip>
        <a:srcRect l="5876" t="23000" r="8000" b="17000"/>
        <a:stretch/>
      </xdr:blipFill>
      <xdr:spPr bwMode="auto">
        <a:xfrm>
          <a:off x="9301842" y="4213677"/>
          <a:ext cx="1992257" cy="138792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585108</xdr:colOff>
      <xdr:row>5</xdr:row>
      <xdr:rowOff>122463</xdr:rowOff>
    </xdr:from>
    <xdr:to>
      <xdr:col>7</xdr:col>
      <xdr:colOff>1918608</xdr:colOff>
      <xdr:row>5</xdr:row>
      <xdr:rowOff>1778346</xdr:rowOff>
    </xdr:to>
    <xdr:pic>
      <xdr:nvPicPr>
        <xdr:cNvPr id="5" name="Picture 4">
          <a:extLst>
            <a:ext uri="{FF2B5EF4-FFF2-40B4-BE49-F238E27FC236}">
              <a16:creationId xmlns="" xmlns:a16="http://schemas.microsoft.com/office/drawing/2014/main" id="{EC1CC05E-0483-42CD-905D-89A76DF10B14}"/>
            </a:ext>
          </a:extLst>
        </xdr:cNvPr>
        <xdr:cNvPicPr>
          <a:picLocks noChangeAspect="1"/>
        </xdr:cNvPicPr>
      </xdr:nvPicPr>
      <xdr:blipFill>
        <a:blip xmlns:r="http://schemas.openxmlformats.org/officeDocument/2006/relationships" r:embed="rId4"/>
        <a:stretch>
          <a:fillRect/>
        </a:stretch>
      </xdr:blipFill>
      <xdr:spPr>
        <a:xfrm>
          <a:off x="9519558" y="1894113"/>
          <a:ext cx="1333500" cy="1655883"/>
        </a:xfrm>
        <a:prstGeom prst="rect">
          <a:avLst/>
        </a:prstGeom>
      </xdr:spPr>
    </xdr:pic>
    <xdr:clientData/>
  </xdr:twoCellAnchor>
  <xdr:twoCellAnchor editAs="oneCell">
    <xdr:from>
      <xdr:col>7</xdr:col>
      <xdr:colOff>530679</xdr:colOff>
      <xdr:row>8</xdr:row>
      <xdr:rowOff>163286</xdr:rowOff>
    </xdr:from>
    <xdr:to>
      <xdr:col>7</xdr:col>
      <xdr:colOff>1932214</xdr:colOff>
      <xdr:row>8</xdr:row>
      <xdr:rowOff>1759125</xdr:rowOff>
    </xdr:to>
    <xdr:pic>
      <xdr:nvPicPr>
        <xdr:cNvPr id="6" name="Picture 5">
          <a:extLst>
            <a:ext uri="{FF2B5EF4-FFF2-40B4-BE49-F238E27FC236}">
              <a16:creationId xmlns="" xmlns:a16="http://schemas.microsoft.com/office/drawing/2014/main" id="{34AC6D33-1671-47DF-9946-F67C0EEC55F0}"/>
            </a:ext>
          </a:extLst>
        </xdr:cNvPr>
        <xdr:cNvPicPr>
          <a:picLocks noChangeAspect="1"/>
        </xdr:cNvPicPr>
      </xdr:nvPicPr>
      <xdr:blipFill rotWithShape="1">
        <a:blip xmlns:r="http://schemas.openxmlformats.org/officeDocument/2006/relationships" r:embed="rId5" cstate="print">
          <a:extLst>
            <a:ext uri="{28A0092B-C50C-407E-A947-70E740481C1C}">
              <a14:useLocalDpi xmlns="" xmlns:a14="http://schemas.microsoft.com/office/drawing/2010/main" val="0"/>
            </a:ext>
          </a:extLst>
        </a:blip>
        <a:srcRect l="24310" t="12270" r="25076" b="10890"/>
        <a:stretch/>
      </xdr:blipFill>
      <xdr:spPr>
        <a:xfrm>
          <a:off x="9465129" y="5852886"/>
          <a:ext cx="1401535" cy="15958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pgser\Mkt\Offers\Active%20Offers\Q3801-Q3900\Q3837-HP\Offers\Active%20Offers\Q-2151AstraZeneca\esti-boq-r2-other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EDF1F71E\UnPriced%20Schedule%20-%20March%202002%20in%20INR.xls" TargetMode="External"/></Relationships>
</file>

<file path=xl/externalLinks/_rels/externalLink101.xml.rels><?xml version="1.0" encoding="UTF-8" standalone="yes"?>
<Relationships xmlns="http://schemas.openxmlformats.org/package/2006/relationships"><Relationship Id="rId1" Type="http://schemas.microsoft.com/office/2006/relationships/xlExternalLinkPath/xlPathMissing" Target="RecoveredExternalLink78"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RecoveredExternalLink79"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Node_2\d\bhu\porur\Hydra.%20Design(07-11-03)%20.xls" TargetMode="External"/></Relationships>
</file>

<file path=xl/externalLinks/_rels/externalLink104.xml.rels><?xml version="1.0" encoding="UTF-8" standalone="yes"?>
<Relationships xmlns="http://schemas.openxmlformats.org/package/2006/relationships"><Relationship Id="rId1" Type="http://schemas.microsoft.com/office/2006/relationships/xlExternalLinkPath/xlPathMissing" Target="RecoveredExternalLink22"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RecoveredExternalLink80"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RecoveredExternalLink81" TargetMode="External"/></Relationships>
</file>

<file path=xl/externalLinks/_rels/externalLink107.xml.rels><?xml version="1.0" encoding="UTF-8" standalone="yes"?>
<Relationships xmlns="http://schemas.openxmlformats.org/package/2006/relationships"><Relationship Id="rId1" Type="http://schemas.microsoft.com/office/2006/relationships/xlExternalLinkPath/xlPathMissing" Target="RecoveredExternalLink82"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RecoveredExternalLink9"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isk--mcbs53\D\gkk\vision\REVISION01\FCM-hyd-airport-final.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RecoveredExternalLink10"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Lpgser\Mkt\Offers\Active%20Offers\Q3801-Q3900\Q3837-HP\Offers\Price%20Schedule\ravishankar\Q-2265-lucent\Q-bom%20with%20costing-r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RecoveredExternalLink11"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RecoveredExternalLink12"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isk--mcbs53\D\gkk\vision\REVISION01\01%20PIPC\01.0%20Bids\B%20-%20Year%202001\E%20APC%20RWB%202011%20-%20WIN%20Platform\TQ%20REplies\2nd%20TQ%20Replies\RIL-FINA\TRICON.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RecoveredExternalLink13"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RecoveredExternalLink14"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RecoveredExternalLink18"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RecoveredExternalLink19"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RecoveredExternalLink20"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ecoveredExternalLink23"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RecoveredExternalLink24"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RecoveredExternalLink26"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RecoveredExternalLink27"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RecoveredExternalLink28"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RecoveredExternalLink29"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RecoveredExternalLink30"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3"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RecoveredExternalLink31"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RecoveredExternalLink32"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Vijay\d\Offers\GRUNDFOSS\Grundfoss%20Offer%204A12\Final%20Offer%20-%204C16\IO%20List%204C08.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RecoveredExternalLink34"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ecoveredExternalLink35"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RecoveredExternalLink37"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RecoveredExternalLink38"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Civil-Ramesh\Season%202016-21\SSNCE\Admin\09%20Renovation%20works%20for%20Vice%20Chancellor%20room%20at%20Admin%20block\3.%20Interior\WINDOWS\Desktop\desktop%20files\Project\1x500_BIRSINGPUR\NASIK\Boq.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isk--mcbs53\D\gkk\vision\REVISION01\01%20PIPC\01.0%20Bids\B%20-%20Year%202001\E%20APC%20RWB%202011%20-%20WIN%20Platform\TQ%20REplies\2nd%20TQ%20Replies\RPL\TRICONEX\10-SY1-O.XLW"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coveredExternalLink39"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sk--mcbs53\D\gkk\vision\REVISION01\01%20PIPC\01.0%20Bids\B%20-%20Year%202001\E%20APC%20RWB%202011%20-%20WIN%20Platform\TQ%20REplies\2nd%20TQ%20Replies\GUNS\HALD-TPS\DBBS\CAST\PRODCALC\CASTPCM1.XLM"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Tsprasad\e-tenders\WINDOWS\Desktop\THOPARGHAT.xls"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RecoveredExternalLink40"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E:\01%20PROJECT\01%20ONGOING\Autopsy%20&amp;%20Mess%20Block\BOQ%20%20POINT%20SCHUDLE\PROJECT\ONGOING\PIPE%20SUPPORT\Final%20PSIPL\06.Cable%20schedule.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01%20PROJECT\01%20ONGOING\Autopsy%20&amp;%20Mess%20Block\BOQ%20%20POINT%20SCHUDLE\PROJECT\ONGOING\PIPE%20SUPPORT\Final%20PSIPL\06.Cable%20schedule.XLS"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RecoveredExternalLink41"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Vijay\d\Documents%20and%20Settings\Srinivasa%20Ramanujam\Local%20Settings\Temporary%20Internet%20Files\OLK38\Elnet-IBMS-IOlistBOQ-510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H:\Documents%20and%20Settings\usha\Local%20Settings\Temporary%20Internet%20Files\Content.Outlook\3J6T505N\Documents%20and%20Settings\virapan\Local%20Settings\Temporary%20Internet%20Files\Content.IE5\090AA8CL\number2text-formula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6.Tender\12.HCL%20Internal%20Chennai\working\FCM_HCL%20Internal_SEZ_working_R0_05.09.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RecoveredExternalLink43" TargetMode="External"/></Relationships>
</file>

<file path=xl/externalLinks/_rels/externalLink49.xml.rels><?xml version="1.0" encoding="UTF-8" standalone="yes"?>
<Relationships xmlns="http://schemas.openxmlformats.org/package/2006/relationships"><Relationship Id="rId1" Type="http://schemas.microsoft.com/office/2006/relationships/xlExternalLinkPath/xlPathMissing" Target="RecoveredExternalLink45"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ecoveredExternalLink5"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RecoveredExternalLink46"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RecoveredExternalLink47"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Nas-server\Alex\ONGC\Electrical%20Pacakage\DG%20Set\Electrical%20Rate%20analysis1.xls" TargetMode="External"/></Relationships>
</file>

<file path=xl/externalLinks/_rels/externalLink53.xml.rels><?xml version="1.0" encoding="UTF-8" standalone="yes"?>
<Relationships xmlns="http://schemas.openxmlformats.org/package/2006/relationships"><Relationship Id="rId1" Type="http://schemas.microsoft.com/office/2006/relationships/xlExternalLinkPath/xlPathMissing" Target="RecoveredExternalLink48"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Users\Sakthivel\AppData\Local\Microsoft\Windows\Temporary%20Internet%20Files\Content.Outlook\08TRP1FT\PHASE%20-2%20%20TENDER%20WORKING%20%2008.06.11\A1-BOQ-250611.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Sakthivel\AppData\Local\Microsoft\Windows\Temporary%20Internet%20Files\Content.Outlook\08TRP1FT\PHASE%20-2%20%20TENDER%20WORKING%20%2008.06.11\A1-BOQ-250611.XLS" TargetMode="External"/></Relationships>
</file>

<file path=xl/externalLinks/_rels/externalLink56.xml.rels><?xml version="1.0" encoding="UTF-8" standalone="yes"?>
<Relationships xmlns="http://schemas.openxmlformats.org/package/2006/relationships"><Relationship Id="rId1" Type="http://schemas.microsoft.com/office/2006/relationships/xlExternalLinkPath/xlPathMissing" Target="RecoveredExternalLink50"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handra\CURRENT%20PROJECTS%20-%20ELECTRICAL%206\PROJECT\CURRENT%20PROJECTS%20-%20ELECTRICAL%206\X0189%20-%20MANTRI%20COMPACT%20HOMES%20-%20SITE%20PLAN\LOAD%20CALCULATIONS\Electrical%20Load%20and%20cost%20Estimate%20-%20R2.xls"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PathMissing" Target="RecoveredExternalLink51"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disk--mcbs53\D\gkk\vision\REVISION01\01%20PIPC\01.0%20Bids\B%20-%20Year%202001\E%20APC%20RWB%202011%20-%20WIN%20Platform\TQ%20REplies\2nd%20TQ%20Replies\RPL\TRICONEX\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afune\shareddocs\Documents%20and%20Settings\&#30495;&#33337;&#28165;&#21496;\&#12487;&#12473;&#12463;&#12488;&#12483;&#12503;\ER158-sum%20001%20G1%20NET%20051005.xls" TargetMode="External"/></Relationships>
</file>

<file path=xl/externalLinks/_rels/externalLink60.xml.rels><?xml version="1.0" encoding="UTF-8" standalone="yes"?>
<Relationships xmlns="http://schemas.openxmlformats.org/package/2006/relationships"><Relationship Id="rId1" Type="http://schemas.microsoft.com/office/2006/relationships/xlExternalLinkPath/xlPathMissing" Target="RecoveredExternalLink52"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E:\DINESH\STANDERD\SLD\EMPTY%20SLD\EMPTY%20SLD%20WITH%20DATA.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DINESH\STANDERD\SLD\EMPTY%20SLD\EMPTY%20SLD%20WITH%20DATA.xls" TargetMode="External"/></Relationships>
</file>

<file path=xl/externalLinks/_rels/externalLink63.xml.rels><?xml version="1.0" encoding="UTF-8" standalone="yes"?>
<Relationships xmlns="http://schemas.openxmlformats.org/package/2006/relationships"><Relationship Id="rId1" Type="http://schemas.microsoft.com/office/2006/relationships/xlExternalLinkPath/xlPathMissing" Target="RecoveredExternalLink53" TargetMode="External"/></Relationships>
</file>

<file path=xl/externalLinks/_rels/externalLink64.xml.rels><?xml version="1.0" encoding="UTF-8" standalone="yes"?>
<Relationships xmlns="http://schemas.openxmlformats.org/package/2006/relationships"><Relationship Id="rId1" Type="http://schemas.microsoft.com/office/2006/relationships/xlExternalLinkPath/xlPathMissing" Target="RecoveredExternalLink54"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RecoveredExternalLink55"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RecoveredExternalLink56" TargetMode="External"/></Relationships>
</file>

<file path=xl/externalLinks/_rels/externalLink67.xml.rels><?xml version="1.0" encoding="UTF-8" standalone="yes"?>
<Relationships xmlns="http://schemas.openxmlformats.org/package/2006/relationships"><Relationship Id="rId1" Type="http://schemas.microsoft.com/office/2006/relationships/xlExternalLinkPath/xlPathMissing" Target="RecoveredExternalLink57" TargetMode="External"/></Relationships>
</file>

<file path=xl/externalLinks/_rels/externalLink68.xml.rels><?xml version="1.0" encoding="UTF-8" standalone="yes"?>
<Relationships xmlns="http://schemas.openxmlformats.org/package/2006/relationships"><Relationship Id="rId1" Type="http://schemas.microsoft.com/office/2006/relationships/xlExternalLinkPath/xlPathMissing" Target="RecoveredExternalLink58" TargetMode="External"/></Relationships>
</file>

<file path=xl/externalLinks/_rels/externalLink69.xml.rels><?xml version="1.0" encoding="UTF-8" standalone="yes"?>
<Relationships xmlns="http://schemas.openxmlformats.org/package/2006/relationships"><Relationship Id="rId1" Type="http://schemas.microsoft.com/office/2006/relationships/xlExternalLinkPath/xlPathMissing" Target="RecoveredExternalLink6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pgser\Mkt\Offers\Active%20Offers\Q3801-Q3900\Q3837-HP\Offers\Active%20Offers\UB%20cITy\estimate.xls" TargetMode="External"/></Relationships>
</file>

<file path=xl/externalLinks/_rels/externalLink70.xml.rels><?xml version="1.0" encoding="UTF-8" standalone="yes"?>
<Relationships xmlns="http://schemas.openxmlformats.org/package/2006/relationships"><Relationship Id="rId1" Type="http://schemas.microsoft.com/office/2006/relationships/xlExternalLinkPath/xlPathMissing" Target="RecoveredExternalLink61" TargetMode="External"/></Relationships>
</file>

<file path=xl/externalLinks/_rels/externalLink71.xml.rels><?xml version="1.0" encoding="UTF-8" standalone="yes"?>
<Relationships xmlns="http://schemas.openxmlformats.org/package/2006/relationships"><Relationship Id="rId1" Type="http://schemas.microsoft.com/office/2006/relationships/xlExternalLinkPath/xlPathMissing" Target="RecoveredExternalLink62" TargetMode="External"/></Relationships>
</file>

<file path=xl/externalLinks/_rels/externalLink72.xml.rels><?xml version="1.0" encoding="UTF-8" standalone="yes"?>
<Relationships xmlns="http://schemas.openxmlformats.org/package/2006/relationships"><Relationship Id="rId1" Type="http://schemas.microsoft.com/office/2006/relationships/xlExternalLinkPath/xlPathMissing" Target="RecoveredExternalLink63" TargetMode="External"/></Relationships>
</file>

<file path=xl/externalLinks/_rels/externalLink73.xml.rels><?xml version="1.0" encoding="UTF-8" standalone="yes"?>
<Relationships xmlns="http://schemas.openxmlformats.org/package/2006/relationships"><Relationship Id="rId1" Type="http://schemas.microsoft.com/office/2006/relationships/xlExternalLinkPath/xlPathMissing" Target="RecoveredExternalLink21" TargetMode="External"/></Relationships>
</file>

<file path=xl/externalLinks/_rels/externalLink74.xml.rels><?xml version="1.0" encoding="UTF-8" standalone="yes"?>
<Relationships xmlns="http://schemas.openxmlformats.org/package/2006/relationships"><Relationship Id="rId1" Type="http://schemas.microsoft.com/office/2006/relationships/xlExternalLinkPath/xlPathMissing" Target="RecoveredExternalLink65"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R:\KGT\YR98-99\DPR_9697\PLAN1697.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CD6A206\number2te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B544B151\number2tex" TargetMode="External"/></Relationships>
</file>

<file path=xl/externalLinks/_rels/externalLink78.xml.rels><?xml version="1.0" encoding="UTF-8" standalone="yes"?>
<Relationships xmlns="http://schemas.openxmlformats.org/package/2006/relationships"><Relationship Id="rId1" Type="http://schemas.microsoft.com/office/2006/relationships/xlExternalLinkPath/xlPathMissing" Target="RecoveredExternalLink66" TargetMode="External"/></Relationships>
</file>

<file path=xl/externalLinks/_rels/externalLink79.xml.rels><?xml version="1.0" encoding="UTF-8" standalone="yes"?>
<Relationships xmlns="http://schemas.openxmlformats.org/package/2006/relationships"><Relationship Id="rId1" Type="http://schemas.microsoft.com/office/2006/relationships/xlExternalLinkPath/xlPathMissing" Target="RecoveredExternalLink67"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RecoveredExternalLink7" TargetMode="External"/></Relationships>
</file>

<file path=xl/externalLinks/_rels/externalLink80.xml.rels><?xml version="1.0" encoding="UTF-8" standalone="yes"?>
<Relationships xmlns="http://schemas.openxmlformats.org/package/2006/relationships"><Relationship Id="rId1" Type="http://schemas.microsoft.com/office/2006/relationships/xlExternalLinkPath/xlPathMissing" Target="RecoveredExternalLink68" TargetMode="External"/></Relationships>
</file>

<file path=xl/externalLinks/_rels/externalLink81.xml.rels><?xml version="1.0" encoding="UTF-8" standalone="yes"?>
<Relationships xmlns="http://schemas.openxmlformats.org/package/2006/relationships"><Relationship Id="rId1" Type="http://schemas.microsoft.com/office/2006/relationships/xlExternalLinkPath/xlPathMissing" Target="RecoveredExternalLink69"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B:\CED\C457-1\C457-1.XLS"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RecoveredExternalLink70" TargetMode="External"/></Relationships>
</file>

<file path=xl/externalLinks/_rels/externalLink84.xml.rels><?xml version="1.0" encoding="UTF-8" standalone="yes"?>
<Relationships xmlns="http://schemas.openxmlformats.org/package/2006/relationships"><Relationship Id="rId1" Type="http://schemas.microsoft.com/office/2006/relationships/xlExternalLinkPath/xlPathMissing" Target="RecoveredExternalLink71" TargetMode="External"/></Relationships>
</file>

<file path=xl/externalLinks/_rels/externalLink85.xml.rels><?xml version="1.0" encoding="UTF-8" standalone="yes"?>
<Relationships xmlns="http://schemas.openxmlformats.org/package/2006/relationships"><Relationship Id="rId1" Type="http://schemas.microsoft.com/office/2006/relationships/xlExternalLinkPath/xlPathMissing" Target="RecoveredExternalLink72"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RecoveredExternalLink73"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Civil-Ramesh\Season%202016-21\SSNCE\Admin\09%20Renovation%20works%20for%20Vice%20Chancellor%20room%20at%20Admin%20block\3.%20Interior\Billing\RA%20Bills\model%20bill\wip.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Lpgser\Mkt\Offers\Active%20Offers\Q3801-Q3900\Q3837-HP\Offers\Active%20Offers\Q2801-2900\Q2810-Pratham%20motors-pc\rev-0\Q2810-costing-r0.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84CA47C5\StrStatusq.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8"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Lpgser\Mkt\Offers\Active%20Offers\Q3801-Q3900\Q3837-HP\Offers\Active%20Offers\Q2601-2700\Q2598-eta\Q2598-costing.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Lpgser\Mkt\Offers\Active%20Offers\Q3801-Q3900\Q3837-HP\Offers\Active%20Offers\Q2901-3000\Q2959-CB%20Richards-pc\Q2959-costing-r0-abb.xls" TargetMode="External"/></Relationships>
</file>

<file path=xl/externalLinks/_rels/externalLink92.xml.rels><?xml version="1.0" encoding="UTF-8" standalone="yes"?>
<Relationships xmlns="http://schemas.openxmlformats.org/package/2006/relationships"><Relationship Id="rId1" Type="http://schemas.microsoft.com/office/2006/relationships/xlExternalLinkPath/xlPathMissing" Target="RecoveredExternalLink74"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isk--mcbs53\D\Temp\C.Lotus.Notes.Data\AK\OFR\DIRECT\NMPT\E1%20package\offer\spares%20list.xls" TargetMode="External"/></Relationships>
</file>

<file path=xl/externalLinks/_rels/externalLink94.xml.rels><?xml version="1.0" encoding="UTF-8" standalone="yes"?>
<Relationships xmlns="http://schemas.openxmlformats.org/package/2006/relationships"><Relationship Id="rId1" Type="http://schemas.microsoft.com/office/2006/relationships/xlExternalLinkPath/xlPathMissing" Target="RecoveredExternalLink75"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RecoveredExternalLink76"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f-nefertoum\home6$\p031509\MyDocs\My%20doc\PBM\SUIVI%20des%20docs%20consult&#233;s\DOCUMENTS%20PBM%20VALIDES\5_Etudes\521_Tableau_de_suivi_des_couts.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Lpgntsvr\Engg\_J800-899\J822\price&amp;makelist.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PathMissing" Target="RecoveredExternalLink16" TargetMode="External"/></Relationships>
</file>

<file path=xl/externalLinks/_rels/externalLink99.xml.rels><?xml version="1.0" encoding="UTF-8" standalone="yes"?>
<Relationships xmlns="http://schemas.openxmlformats.org/package/2006/relationships"><Relationship Id="rId1" Type="http://schemas.microsoft.com/office/2006/relationships/xlExternalLinkPath/xlPathMissing" Target="RecoveredExternalLink77"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ncl."/>
      <sheetName val="Project Info."/>
      <sheetName val="Tender Gist"/>
      <sheetName val="EMD Req form"/>
      <sheetName val="P+M "/>
      <sheetName val="Scaffolding "/>
      <sheetName val="Breakup of the Project "/>
      <sheetName val="Summary "/>
      <sheetName val="Bill No 1 ( Prelim )"/>
      <sheetName val="Bill No 2 to 8"/>
      <sheetName val="Bill No 9 ( PPC )"/>
      <sheetName val="Rate Analysis"/>
      <sheetName val="Standard"/>
      <sheetName val="Cem. Consmption"/>
      <sheetName val="OH- Total"/>
      <sheetName val="OH- ( Excl P )"/>
      <sheetName val="Top Sheet"/>
      <sheetName val="Basic Price "/>
      <sheetName val="Summary  (Rev)"/>
      <sheetName val="Bill No 1 ( Prelim ) (Rev)"/>
      <sheetName val="Bill No 2 to 8 (Rev)"/>
      <sheetName val="Bill No 9 ( PPC ) (Rev)"/>
      <sheetName val="OH1"/>
      <sheetName val="Staff1"/>
      <sheetName val="Concrete working"/>
      <sheetName val="Shuttering"/>
      <sheetName val="Rate Analysis (Rev)"/>
      <sheetName val="Cement and Steel Basic cost"/>
      <sheetName val="Standard (Rev)"/>
      <sheetName val="IO List"/>
      <sheetName val="BMS BOQ"/>
      <sheetName val="Lead"/>
      <sheetName val="Lead splm"/>
      <sheetName val="Data"/>
      <sheetName val="SLP Data"/>
      <sheetName val="Lead SLPM."/>
      <sheetName val="SLPM Data"/>
      <sheetName val="PRECAST lightconc-II"/>
      <sheetName val="factors"/>
      <sheetName val="FORM7"/>
      <sheetName val="Module5"/>
      <sheetName val="Module4"/>
      <sheetName val="Module3"/>
      <sheetName val="Module7"/>
      <sheetName val="Module6"/>
      <sheetName val="Module8"/>
      <sheetName val="Module9"/>
      <sheetName val="R1"/>
      <sheetName val="R2"/>
      <sheetName val="R3"/>
      <sheetName val="Abstract"/>
      <sheetName val="Module2"/>
      <sheetName val="Module1"/>
      <sheetName val="TBAL9697 -group wise  sdpl"/>
      <sheetName val="URA"/>
      <sheetName val="SPT vs PHI"/>
      <sheetName val="gen"/>
      <sheetName val="HVAC casu"/>
      <sheetName val="HVACmater."/>
      <sheetName val="HVACtreat"/>
      <sheetName val="HVAC serv"/>
      <sheetName val="hvac opd"/>
      <sheetName val="total abst.HVAC"/>
      <sheetName val="sec.adv.-19th HVAC"/>
      <sheetName val="sec.adv.-19TH ELEC.  (2)"/>
      <sheetName val="sec.adv.-19TH ELEC. "/>
      <sheetName val="Extra item"/>
      <sheetName val="External Item-Total Abstract "/>
      <sheetName val="CASUALTY m"/>
      <sheetName val="maternity M"/>
      <sheetName val="TREATMENT m "/>
      <sheetName val="block-3 m"/>
      <sheetName val="BLOCK-2m"/>
      <sheetName val="Total  ABSTRAC 20 TH"/>
      <sheetName val="Casualty"/>
      <sheetName val="Maternity"/>
      <sheetName val="Treatment"/>
      <sheetName val="service"/>
      <sheetName val="Block3"/>
      <sheetName val="Block2"/>
      <sheetName val="opd"/>
      <sheetName val="Area Statement"/>
      <sheetName val="SUMMARY"/>
      <sheetName val="Civil BOQ"/>
      <sheetName val="Analysis"/>
      <sheetName val="4 Plumbing"/>
      <sheetName val="BP"/>
      <sheetName val="Sheet2"/>
      <sheetName val="Changed Analysis"/>
      <sheetName val="OH Calculation sheet"/>
      <sheetName val="Program"/>
      <sheetName val="Road BOQ)"/>
      <sheetName val="Machinary  Analysis- DSIDC"/>
      <sheetName val="hmp"/>
      <sheetName val="wmm"/>
      <sheetName val="OH"/>
      <sheetName val="Over Head Total"/>
      <sheetName val="Calculations"/>
      <sheetName val="Analysis( Civil )."/>
      <sheetName val="Civil Work-building"/>
      <sheetName val="Analysis."/>
      <sheetName val="Elect."/>
      <sheetName val="Boiler&amp;TG"/>
      <sheetName val="Tg_foundn"/>
      <sheetName val="Stru_steel"/>
      <sheetName val="Digester building"/>
      <sheetName val="Conc-Site"/>
      <sheetName val="Shut"/>
      <sheetName val="Boiler_TG"/>
      <sheetName val="T Crane"/>
      <sheetName val="TS"/>
      <sheetName val="SDF I"/>
      <sheetName val="BOQ"/>
      <sheetName val="Sheet5"/>
      <sheetName val="Syn"/>
      <sheetName val="Loading"/>
      <sheetName val="Abstract "/>
      <sheetName val="OH's"/>
      <sheetName val="BOQ P-N"/>
      <sheetName val="MAJ Qtys "/>
      <sheetName val="LOCAL RATES"/>
      <sheetName val="Site Plan"/>
      <sheetName val="DATA SHEET"/>
      <sheetName val="MECH-PROG"/>
      <sheetName val="MECH-ANLYS"/>
      <sheetName val="Crusher"/>
      <sheetName val="Elect"/>
      <sheetName val="DPR BOQ"/>
      <sheetName val="DPR Rates"/>
      <sheetName val="Highways BOQ"/>
      <sheetName val="Structures BOQ"/>
      <sheetName val="Cover Drain"/>
      <sheetName val="st.analysis"/>
      <sheetName val="Traffic signs"/>
      <sheetName val="Qty Cal"/>
      <sheetName val="bus_bay"/>
      <sheetName val="ITEMS TO BE CHECK"/>
      <sheetName val="PROJ VIEW"/>
      <sheetName val="PAGE COLLECTION"/>
      <sheetName val="RESOUR_MACH"/>
      <sheetName val="MECH-COST ANALYSIS"/>
      <sheetName val="MAJOR QTYS"/>
      <sheetName val="RESOUR_MANPOWER"/>
      <sheetName val="TRANS"/>
      <sheetName val="Eqpt_Manpoer Schedule"/>
      <sheetName val="NH-25(MP-UP) synopsys"/>
      <sheetName val="catch pit"/>
      <sheetName val="Shuttering&amp;Concrete"/>
      <sheetName val="Synopsis"/>
      <sheetName val="Abs Wagha"/>
      <sheetName val="Wagha BoQ"/>
      <sheetName val="Proj. View "/>
      <sheetName val="Loading "/>
      <sheetName val="SHUTTERING "/>
      <sheetName val="END"/>
      <sheetName val="Brief"/>
      <sheetName val="Shuttering Cost NS 40"/>
      <sheetName val="Batching plant"/>
      <sheetName val="CONCRETE MIXER"/>
      <sheetName val="Concrete Pump"/>
      <sheetName val="Compressor"/>
      <sheetName val="Dozer"/>
      <sheetName val="Excavator"/>
      <sheetName val="FE Loader"/>
      <sheetName val="Grader"/>
      <sheetName val="HMP Plant"/>
      <sheetName val="PTR"/>
      <sheetName val="Tipper"/>
      <sheetName val="Tractor with Ripper "/>
      <sheetName val="Tandem Roller"/>
      <sheetName val="Vibratory Roller "/>
      <sheetName val="Water tanker"/>
      <sheetName val="WMM Paver"/>
      <sheetName val="WMM Plant"/>
      <sheetName val="Grand Summary"/>
      <sheetName val="Common Plant"/>
      <sheetName val="pLUMBING"/>
      <sheetName val="List of Items"/>
      <sheetName val="Major Quantities"/>
      <sheetName val="s"/>
      <sheetName val="Sheet1"/>
      <sheetName val="Road-Analysis"/>
      <sheetName val="Road-Boq"/>
      <sheetName val="Analy"/>
      <sheetName val="AppeE"/>
      <sheetName val="Boq-with fire"/>
      <sheetName val="Boq-wo fire"/>
      <sheetName val="Compare"/>
      <sheetName val="Shutter"/>
      <sheetName val="Appendix-E"/>
      <sheetName val="ANALYS"/>
      <sheetName val="Summary - Page 1"/>
      <sheetName val="Interest"/>
      <sheetName val="Facility"/>
      <sheetName val="P&amp;M"/>
      <sheetName val="Salary"/>
      <sheetName val=" INTERIM 17 TH-certified"/>
      <sheetName val=" INTERIM 17 TH-spec"/>
      <sheetName val="sec.adv.-17Int  "/>
      <sheetName val="HVAC"/>
      <sheetName val="CASUALTY "/>
      <sheetName val="TREATMENT "/>
      <sheetName val="SERVICE-4"/>
      <sheetName val="block-3"/>
      <sheetName val="O.P.D. "/>
      <sheetName val="Total Abstract17th"/>
      <sheetName val="BLOCK-2"/>
      <sheetName val="RA Bill summary"/>
      <sheetName val=" ABSTRACT  "/>
      <sheetName val="S T BILL"/>
      <sheetName val="BFP"/>
      <sheetName val="Neutralisation pit"/>
      <sheetName val="MCW piping"/>
      <sheetName val="Road crossing (2)"/>
      <sheetName val="Elecric &amp; Control"/>
      <sheetName val="Water "/>
      <sheetName val="Road crossing"/>
      <sheetName val="CW pump house"/>
      <sheetName val="DM builidng"/>
      <sheetName val="offset switch gear building"/>
      <sheetName val="Main stack"/>
      <sheetName val="Raw water fire water"/>
      <sheetName val="Switchyard"/>
      <sheetName val="Switch yard control building"/>
      <sheetName val="Duct Bank"/>
      <sheetName val="Desagged water storage tank"/>
      <sheetName val="Switch yard cable trench"/>
      <sheetName val="GT-ST Transformer"/>
      <sheetName val="MSPS_Abstract"/>
      <sheetName val="MSPS_Detailed"/>
      <sheetName val="JAN 09 "/>
      <sheetName val="31-05-2007-DPR"/>
      <sheetName val="sum-all"/>
      <sheetName val="Block admin"/>
      <sheetName val="Block acad"/>
      <sheetName val="Block aud"/>
      <sheetName val=" Club house"/>
      <sheetName val="sum"/>
      <sheetName val="DPR"/>
      <sheetName val="pictorial view "/>
      <sheetName val="pictorial view (2)"/>
      <sheetName val="Revised shutt.cycle 10-07-2007"/>
      <sheetName val="Revised shut cycle progress"/>
      <sheetName val="Slab area floorwise"/>
      <sheetName val="FINISHING SCHEDULE"/>
      <sheetName val="OHT (3.2 LL)"/>
      <sheetName val="TOS (OHT 3.2 LL)"/>
      <sheetName val="OHT (5.45LL)"/>
      <sheetName val="TOS (OHT 5.45LL)"/>
      <sheetName val="ABSTRACT-3 SITES"/>
      <sheetName val="CIVIL DSR-3 Sites"/>
      <sheetName val="ELECTRICAL DSR 3 sites "/>
      <sheetName val="FIRE FIGHTING DSR 3 sites"/>
      <sheetName val="LANDSCAPING DSR-3 Items Sites"/>
      <sheetName val="CIVIL NDSR"/>
      <sheetName val="ELE NDS Com. 3 site"/>
      <sheetName val="BMS Grp 4"/>
      <sheetName val="n-dsr 3 sites"/>
      <sheetName val="VENTIL Non-DSR 3 sites "/>
      <sheetName val="LANDSC Non-DSR-3 Sites"/>
      <sheetName val="OHT"/>
      <sheetName val="TOS (OHT)"/>
      <sheetName val="UGT"/>
      <sheetName val="TOS(UGT)"/>
      <sheetName val="UG W T"/>
      <sheetName val="OHT (2)"/>
      <sheetName val="MBQ"/>
      <sheetName val="drg study"/>
      <sheetName val="RA"/>
      <sheetName val="basic"/>
      <sheetName val="block"/>
      <sheetName val="Technicla manpower"/>
      <sheetName val="Mixer"/>
      <sheetName val="PRE (3)"/>
      <sheetName val="PRE (2)"/>
      <sheetName val="PRE"/>
      <sheetName val="Prerna Engg."/>
      <sheetName val="Bahuleyan"/>
      <sheetName val="Uday rai"/>
      <sheetName val="Manjur islam"/>
      <sheetName val="T Khan"/>
      <sheetName val="Misc."/>
      <sheetName val="Sabir"/>
      <sheetName val="Mirror"/>
      <sheetName val="Ramachander"/>
      <sheetName val="Surendar"/>
      <sheetName val="Guddu"/>
      <sheetName val="Ramjeet"/>
      <sheetName val="Aalam"/>
      <sheetName val="Ashok"/>
      <sheetName val="Naushad"/>
      <sheetName val="Cable-data"/>
      <sheetName val="XLPE. ALLUMINIUM) (2)"/>
      <sheetName val="XLPE. ALLUMINIUM)"/>
      <sheetName val="XLPE COPPER"/>
      <sheetName val="PVC ALLUMINIUM"/>
      <sheetName val="PVC COPPER"/>
      <sheetName val="      "/>
      <sheetName val="VD FOR LIGHTING"/>
      <sheetName val="CABLE DATA"/>
      <sheetName val="Certi."/>
      <sheetName val="Abstact"/>
      <sheetName val="lab ind"/>
      <sheetName val="st ind"/>
      <sheetName val="cem ind"/>
      <sheetName val="fuel ind"/>
      <sheetName val="Details of price Index"/>
      <sheetName val="drwng_study"/>
      <sheetName val="M-BOQ"/>
      <sheetName val="sliding "/>
      <sheetName val="casement"/>
      <sheetName val="RA "/>
      <sheetName val="I-MAINFACT"/>
      <sheetName val="II-RAduct"/>
      <sheetName val="III-RawMatGodwn"/>
      <sheetName val="IV-Utility"/>
      <sheetName val="V-UGtank"/>
      <sheetName val="VI-Road"/>
      <sheetName val="VII-ETP"/>
      <sheetName val="Flooring-MRS"/>
      <sheetName val="BO"/>
      <sheetName val="02"/>
      <sheetName val="03"/>
      <sheetName val="04"/>
      <sheetName val="05"/>
      <sheetName val=" summary"/>
      <sheetName val="01"/>
      <sheetName val="06"/>
      <sheetName val="07"/>
      <sheetName val="08"/>
      <sheetName val="09"/>
      <sheetName val="Elect_"/>
      <sheetName val="C_P_ BOQ"/>
      <sheetName val="Synops"/>
      <sheetName val="Abstract ( Depre)"/>
      <sheetName val="C.P. BOQ"/>
      <sheetName val="Materials"/>
      <sheetName val="BitAll"/>
      <sheetName val="Crushing n screening"/>
      <sheetName val="A"/>
      <sheetName val="05-02-2K1"/>
      <sheetName val="01-03-2K1"/>
      <sheetName val="16-03-2K1"/>
      <sheetName val="fnl"/>
      <sheetName val="fnl (2)"/>
      <sheetName val="WELCOME SHEET"/>
      <sheetName val="Revised Planning Jan'13"/>
      <sheetName val="Q-4 Target"/>
      <sheetName val="BOTTLE NECK"/>
      <sheetName val="KTPP WPR Dec'12"/>
      <sheetName val="MRS"/>
      <sheetName val="MAIN-BLDG  "/>
      <sheetName val="infra"/>
      <sheetName val="Steel "/>
      <sheetName val="Monitoring of resources Jan'13"/>
      <sheetName val="MIS Submission"/>
      <sheetName val="Status of NCR"/>
      <sheetName val="PPR I"/>
      <sheetName val="PPR II"/>
      <sheetName val="COQ"/>
      <sheetName val="Process Parameters"/>
      <sheetName val="CVC of Main Plant Nov'12"/>
      <sheetName val="CVC CWPH Sept'2012"/>
      <sheetName val="CVC FB Nov 2011"/>
      <sheetName val="CVC CW Channel Nov 2011"/>
      <sheetName val="Main Plant E.D.-40th"/>
      <sheetName val="CWPH E.D. 23rd"/>
      <sheetName val="Foreway E.D. 17th"/>
      <sheetName val="Channel 5th"/>
      <sheetName val="Safety"/>
      <sheetName val="Diesel +other oH"/>
      <sheetName val="Asset rental"/>
      <sheetName val="INPUT SHEET"/>
      <sheetName val="RES-PLANNING"/>
      <sheetName val="PLANNING"/>
      <sheetName val="ACHIEVED"/>
      <sheetName val="plan-achieved"/>
      <sheetName val="BO-material-details"/>
      <sheetName val="P&amp;L-Support"/>
      <sheetName val="P&amp;L BudRo"/>
      <sheetName val="Front"/>
      <sheetName val="Index"/>
      <sheetName val="Org chart"/>
      <sheetName val="Org Jun06"/>
      <sheetName val="S Curve"/>
      <sheetName val="RA Summary"/>
      <sheetName val="Cumul Abstract"/>
      <sheetName val="Exp. Ded. 02"/>
      <sheetName val="Material- Infra"/>
      <sheetName val="Material- project"/>
      <sheetName val="MRS "/>
      <sheetName val="Monitoring of Resource"/>
      <sheetName val="Plan Bud - Apr06"/>
      <sheetName val="Achiev bud - Apr06"/>
      <sheetName val="Comparision of budget Apr06"/>
      <sheetName val="Plan budg - May06"/>
      <sheetName val="Labour reconsil"/>
      <sheetName val="WPR"/>
      <sheetName val="Flash report"/>
      <sheetName val="Planning_tender"/>
      <sheetName val="Working"/>
      <sheetName val="INFRA- budget"/>
      <sheetName val="Rolled budget_Jun06"/>
      <sheetName val="tender-exercise"/>
      <sheetName val="P&amp;L-zero"/>
      <sheetName val="EARTH WORK 2"/>
      <sheetName val="EARTH WORK 1"/>
      <sheetName val="VFMP-Monthly-AB"/>
      <sheetName val="MPR"/>
      <sheetName val="14-08"/>
      <sheetName val="INSURANCE"/>
      <sheetName val="profitability"/>
      <sheetName val="overhead"/>
      <sheetName val="finance"/>
      <sheetName val="Misc.P&amp;M"/>
      <sheetName val="Tools&amp;tackle"/>
      <sheetName val="client"/>
      <sheetName val="WATER"/>
      <sheetName val="power"/>
      <sheetName val="BARRI"/>
      <sheetName val="APPROVAL"/>
      <sheetName val="ED-Apr-13 to May-13"/>
      <sheetName val="BPS 5 (2)"/>
      <sheetName val="BPS 5"/>
      <sheetName val="LPG HR"/>
      <sheetName val="Cant"/>
      <sheetName val="S&amp;I"/>
      <sheetName val="Utility"/>
      <sheetName val="DG"/>
      <sheetName val="Road"/>
      <sheetName val="Sewer storm"/>
      <sheetName val="Gaurdroom"/>
      <sheetName val="Pipe rack"/>
      <sheetName val="BPS"/>
      <sheetName val="Main abstract"/>
      <sheetName val="Sheet1 (10)"/>
      <sheetName val="inf"/>
      <sheetName val="rate diff"/>
      <sheetName val="co-ord"/>
      <sheetName val="orl-mdf"/>
      <sheetName val="all bldg"/>
      <sheetName val="1-orl"/>
      <sheetName val="2-utility"/>
      <sheetName val="3-boiler"/>
      <sheetName val="4-road"/>
      <sheetName val="5-pipe"/>
      <sheetName val="6-beta"/>
      <sheetName val="7-ug"/>
      <sheetName val="8-etp"/>
      <sheetName val="9-hot-cold"/>
      <sheetName val="10-dm"/>
      <sheetName val="11-hsd"/>
      <sheetName val="12-fo"/>
      <sheetName val="13-septic"/>
      <sheetName val="14-ware"/>
      <sheetName val="15-admn"/>
      <sheetName val="16-security"/>
      <sheetName val="17-Laundary"/>
      <sheetName val="18-misc"/>
      <sheetName val="19-ff"/>
      <sheetName val="cert-amt"/>
      <sheetName val="label"/>
      <sheetName val="this"/>
      <sheetName val="pm"/>
      <sheetName val="Main Plant E.D.-39th"/>
      <sheetName val="MS Cribs"/>
      <sheetName val="Steel GCW"/>
      <sheetName val="Steel CHP "/>
      <sheetName val="RMC Abstract"/>
      <sheetName val="RMC production"/>
      <sheetName val="fencing pole caculation"/>
      <sheetName val="RA BILL SUMMARY "/>
      <sheetName val="RA BILL ABSTRACT"/>
      <sheetName val="RA QTY. ABSTRACT"/>
      <sheetName val="POWER HOUSE-1"/>
      <sheetName val="POWER HOUSE-2"/>
      <sheetName val="TG-1"/>
      <sheetName val="TG II"/>
      <sheetName val="MILL BAY-Unit-2"/>
      <sheetName val="Control Building"/>
      <sheetName val="Extra Items "/>
      <sheetName val="Angel- PH-II"/>
      <sheetName val="Angel- CB"/>
      <sheetName val="MILL BUNKER BAY-Unit-1"/>
      <sheetName val="Angel-TG-II)"/>
      <sheetName val="Angel-TG"/>
      <sheetName val="Angel-TG Fixing"/>
      <sheetName val="TG DECK"/>
      <sheetName val="TAX INVOICE "/>
      <sheetName val="ANNEXURE II "/>
      <sheetName val="Bill summary"/>
      <sheetName val="Abstract (2)"/>
      <sheetName val="Disposal"/>
      <sheetName val="Ply shutt below plinth"/>
      <sheetName val="Ply shutt above pl upto 10.0 mt"/>
      <sheetName val="Ply shutt above 25 mtr "/>
      <sheetName val="Eps "/>
      <sheetName val="Pipe sleeve-100 NB  "/>
      <sheetName val="Pipe sleeve-150 NB  "/>
      <sheetName val="Pocket shutt  "/>
      <sheetName val="Expansion-25 mm thk"/>
      <sheetName val="Ex item- Alumn sheet"/>
      <sheetName val="Ex item- Welded mesh"/>
      <sheetName val="Title"/>
      <sheetName val="Bill status"/>
      <sheetName val="Sheet3"/>
      <sheetName val="MRS-Feb-08(3rd RA)"/>
      <sheetName val="Estimate"/>
      <sheetName val="PRECAST-conc-II"/>
      <sheetName val="Miscellaneous-civil"/>
      <sheetName val="GN-ST-10"/>
      <sheetName val="PRECAST lightconc_II"/>
      <sheetName val="CF-det"/>
      <sheetName val="Friends"/>
      <sheetName val="College Details"/>
      <sheetName val="Personal "/>
      <sheetName val="Office"/>
      <sheetName val="Cleaning &amp; Grubbing"/>
      <sheetName val="GN_ST_10"/>
      <sheetName val="IHC"/>
      <sheetName val="bhilai"/>
      <sheetName val="jidal dam"/>
      <sheetName val="delo"/>
      <sheetName val="fran temp"/>
      <sheetName val="gagan"/>
      <sheetName val="hsbc"/>
      <sheetName val="jeedi"/>
      <sheetName val="kona swit"/>
      <sheetName val="template (8)"/>
      <sheetName val="template (9)"/>
      <sheetName val="OVER HEADS"/>
      <sheetName val="Cover Sheet"/>
      <sheetName val="BOQ REV A"/>
      <sheetName val="PTB (IO)"/>
      <sheetName val="BMS "/>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REF!"/>
      <sheetName val="PIPING"/>
      <sheetName val="Boq Block A"/>
      <sheetName val="Quantity Schedule"/>
      <sheetName val="Revenue  Schedule "/>
      <sheetName val="Balance works - Direct Cost"/>
      <sheetName val="Balance works - Indirect Cost"/>
      <sheetName val="Cashflows"/>
      <sheetName val="Fund Plan"/>
      <sheetName val="Bill of Resources"/>
      <sheetName val="DC"/>
      <sheetName val="八幡"/>
      <sheetName val="300x500"/>
      <sheetName val="PRECAST_lightconc-II"/>
      <sheetName val="jidal_dam"/>
      <sheetName val="fran_temp"/>
      <sheetName val="kona_swit"/>
      <sheetName val="template_(8)"/>
      <sheetName val="template_(9)"/>
      <sheetName val="PRECAST_lightconc_II"/>
      <sheetName val="College_Details"/>
      <sheetName val="Personal_"/>
      <sheetName val="Cleaning_&amp;_Grubbing"/>
      <sheetName val="SITE OVERHEADS"/>
      <sheetName val="labour coeff"/>
      <sheetName val="Site Dev BOQ"/>
      <sheetName val="VCH-SLC"/>
      <sheetName val="Supplier"/>
      <sheetName val="Expenditure plan"/>
      <sheetName val="ORDER BOOKING"/>
      <sheetName val="Design"/>
      <sheetName val="SILICATE"/>
      <sheetName val="Costing Upto Mar'11 (2)"/>
      <sheetName val="Tender Summary"/>
      <sheetName val="OVER_HEADS"/>
      <sheetName val="Cover_Sheet"/>
      <sheetName val="BOQ_REV_A"/>
      <sheetName val="PTB_(IO)"/>
      <sheetName val="BMS_"/>
      <sheetName val="SPT_vs_PHI"/>
      <sheetName val="TBAL9697_-group_wise__sdpl"/>
      <sheetName val="concrete"/>
      <sheetName val="beam-reinft-IIInd floor"/>
      <sheetName val="zone-8"/>
      <sheetName val="MHNO_LEV"/>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M-Book for Conc"/>
      <sheetName val="M-Book for FW"/>
      <sheetName val="upa"/>
      <sheetName val="Meas.-Hotel Part"/>
      <sheetName val="Headings"/>
      <sheetName val="List"/>
      <sheetName val="dBase"/>
      <sheetName val="Contract Night Staff"/>
      <sheetName val="Contract Day Staff"/>
      <sheetName val="Day Shift"/>
      <sheetName val="Night Shift"/>
      <sheetName val="scurve calc (2)"/>
      <sheetName val="Direct cost shed A-2 "/>
      <sheetName val="BOQ_Direct_selling cost"/>
      <sheetName val="22.12.2011"/>
      <sheetName val="Fee Rate Summary"/>
      <sheetName val=" 09.07.10 M顅ᎆ뤀ᨇ԰_x0000_缀_x0000_"/>
      <sheetName val="master"/>
      <sheetName val="Detail"/>
      <sheetName val="Ave.wtd.rates"/>
      <sheetName val="Material "/>
      <sheetName val="Labour &amp; Plant"/>
      <sheetName val="BOQ (2)"/>
      <sheetName val="2gii"/>
      <sheetName val="Cashflow projection"/>
      <sheetName val="PA- Consutant "/>
      <sheetName val="Item- Compact"/>
      <sheetName val="beam-reinft"/>
      <sheetName val="final abstract"/>
      <sheetName val="TBAL9697 _group wise  sdpl"/>
      <sheetName val="Intake"/>
      <sheetName val="inWords"/>
      <sheetName val="St.co.91.5lvl"/>
      <sheetName val="Build-up"/>
      <sheetName val="공장별판관비배부"/>
      <sheetName val="F20 Risk Analysis"/>
      <sheetName val="temp"/>
      <sheetName val="Change Order Log"/>
      <sheetName val="lookups"/>
      <sheetName val="ref"/>
      <sheetName val="Bin"/>
      <sheetName val="2000 MOR"/>
      <sheetName val="Meas__Hotel Part"/>
      <sheetName val="Sales &amp; Prod"/>
      <sheetName val=" 09.07.10 M顅ᎆ뤀ᨇ԰?缀?"/>
      <sheetName val="DataInput"/>
      <sheetName val="DataInput-1"/>
      <sheetName val="DI Rate Analysis"/>
      <sheetName val="Economic RisingMain  Ph-I"/>
      <sheetName val="Fill this out first..."/>
      <sheetName val="BS8007"/>
      <sheetName val="Civil Works"/>
      <sheetName val="SP Break Up"/>
      <sheetName val="GBW"/>
      <sheetName val="HEAD"/>
      <sheetName val="Labour productivity"/>
      <sheetName val="col-reinft1"/>
      <sheetName val="Staff Acco."/>
      <sheetName val="Assumptions"/>
      <sheetName val="08.07.10헾】_x0005__x0000__x0000__x0000__x0000_ꎋ"/>
      <sheetName val="3cd Annexure"/>
      <sheetName val="cash in flow Summary JV "/>
      <sheetName val="water prop."/>
      <sheetName val="GR.slab-reinft"/>
      <sheetName val="Cost Index"/>
      <sheetName val="Costing"/>
      <sheetName val="Prelims Breakup"/>
      <sheetName val="Fin. Assumpt. - Sensitivities"/>
      <sheetName val="Bill 1"/>
      <sheetName val="Bill 2"/>
      <sheetName val="Bill 3"/>
      <sheetName val="Bill 4"/>
      <sheetName val="Bill 5"/>
      <sheetName val="Bill 6"/>
      <sheetName val="Bill 7"/>
      <sheetName val="section"/>
      <sheetName val="Voucher"/>
      <sheetName val="Project Details.."/>
      <sheetName val="Rate analysis- BOQ 1 "/>
      <sheetName val="box-12"/>
      <sheetName val="MN T.B."/>
      <sheetName val="PRECAST_lightconc-II2"/>
      <sheetName val="PRECAST_lightconc_II2"/>
      <sheetName val="Cleaning_&amp;_Grubbing2"/>
      <sheetName val="College_Details2"/>
      <sheetName val="Personal_2"/>
      <sheetName val="jidal_dam2"/>
      <sheetName val="fran_temp2"/>
      <sheetName val="kona_swit2"/>
      <sheetName val="template_(8)2"/>
      <sheetName val="template_(9)2"/>
      <sheetName val="OVER_HEADS2"/>
      <sheetName val="Cover_Sheet2"/>
      <sheetName val="BOQ_REV_A2"/>
      <sheetName val="PTB_(IO)2"/>
      <sheetName val="BMS_2"/>
      <sheetName val="SPT_vs_PHI2"/>
      <sheetName val="TBAL9697_-group_wise__sdpl2"/>
      <sheetName val="TAX_BILLS"/>
      <sheetName val="CASH_BILLS"/>
      <sheetName val="LABOUR_BILLS"/>
      <sheetName val="puch_order"/>
      <sheetName val="Sheet1_(2)"/>
      <sheetName val="Quantity_Schedule1"/>
      <sheetName val="Revenue__Schedule_1"/>
      <sheetName val="Balance_works_-_Direct_Cost1"/>
      <sheetName val="Balance_works_-_Indirect_Cost1"/>
      <sheetName val="Fund_Plan1"/>
      <sheetName val="Bill_of_Resources1"/>
      <sheetName val="SITE_OVERHEADS"/>
      <sheetName val="labour_coeff"/>
      <sheetName val="Site_Dev_BOQ"/>
      <sheetName val="Expenditure_plan"/>
      <sheetName val="ORDER_BOOKING"/>
      <sheetName val="Costing_Upto_Mar'11_(2)"/>
      <sheetName val="Tender_Summary"/>
      <sheetName val="beam-reinft-IIInd_floor"/>
      <sheetName val="Prelims_Breakup"/>
      <sheetName val="Boq_Block_A"/>
      <sheetName val="M-Book_for_Conc"/>
      <sheetName val="M-Book_for_FW"/>
      <sheetName val=" &#10;¢_x0002_&amp;_x0000__x0000__x0000_ú5#_x0000__x0000__x0000__x0000__x0000__x0000__x0000_"/>
      <sheetName val=""/>
      <sheetName val="AOR"/>
      <sheetName val="Driveway Beams"/>
      <sheetName val="Analy_7-10"/>
      <sheetName val="INDIGINEOUS ITEMS "/>
      <sheetName val="Meas_-Hotel_Part"/>
      <sheetName val="22_12_2011"/>
      <sheetName val="BOQ_(2)"/>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1.Civil-RA"/>
      <sheetName val="Makro1"/>
      <sheetName val="estm_mech"/>
      <sheetName val="Eqpmnt Plng"/>
      <sheetName val="Cat A Change Control"/>
      <sheetName val="COST"/>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PRELIM5"/>
      <sheetName val="Labour"/>
      <sheetName val="Admin"/>
      <sheetName val="_20_07_10_RS_&amp;_SECURITY"/>
      <sheetName val="20_07_10_CIVIL_WET"/>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08.07.10헾】_x0005_????ꎋ"/>
      <sheetName val=" 09.07.10 M顅ᎆ뤀ᨇ԰"/>
      <sheetName val=" 09.07.10 M顅ᎆ뤀ᨇ԰_缀_"/>
      <sheetName val="B3-B4-B5-B6"/>
      <sheetName val="Structure Bills Qty"/>
      <sheetName val="dlvoid"/>
      <sheetName val="RA-markate"/>
      <sheetName val="Grade Slab -1"/>
      <sheetName val="Grade Slab -2"/>
      <sheetName val="Grade slab-3"/>
      <sheetName val="Grade slab -4"/>
      <sheetName val="Grade slab -5"/>
      <sheetName val="Grade slab -6"/>
      <sheetName val="SUMMARY(E)"/>
      <sheetName val="T-P1, FINISHES WORKING "/>
      <sheetName val="Assumption &amp; Exclusion"/>
      <sheetName val="querries"/>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Phase 1"/>
      <sheetName val="Background"/>
      <sheetName val=" &#10;¢_x0002_&amp;???ú5#???????"/>
      <sheetName val="sheeet7"/>
      <sheetName val="Pacakges split"/>
      <sheetName val="COLUMN"/>
      <sheetName val="Cover"/>
      <sheetName val="LABOUR RATE"/>
      <sheetName val="Material Rate"/>
      <sheetName val="ACS(1)"/>
      <sheetName val="FAS-C(4)"/>
      <sheetName val="CCTV(old)"/>
      <sheetName val="wordsdata"/>
      <sheetName val="Final"/>
      <sheetName val="Summary-Price_New"/>
      <sheetName val="AN-2K"/>
      <sheetName val="Switch V16"/>
      <sheetName val="Assumption Inputs"/>
      <sheetName val="External Doors"/>
      <sheetName val="T&amp;M"/>
      <sheetName val="AutoOpen Stub Data"/>
      <sheetName val="DI_Rate_Analysis"/>
      <sheetName val="Economic_RisingMain__Ph-I"/>
      <sheetName val="run"/>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Theo Cons-June'10"/>
      <sheetName val="AFAS "/>
      <sheetName val="RDS &amp; WLD"/>
      <sheetName val="PA System"/>
      <sheetName val="ACC"/>
      <sheetName val="CCTV"/>
      <sheetName val="Server &amp; PAC Room"/>
      <sheetName val="BMS"/>
      <sheetName val="HVAC BOQ"/>
      <sheetName val="DEINKING(ANNEX 1)"/>
      <sheetName val="Summary WG"/>
      <sheetName val="L+M"/>
      <sheetName val="Debits as on 12.04.08"/>
      <sheetName val="detail'02"/>
      <sheetName val="Cal"/>
      <sheetName val="Code"/>
      <sheetName val="환율"/>
      <sheetName val="Deduction of assets"/>
      <sheetName val="_17_07_10_N_SHIFT_MECH-TANK"/>
      <sheetName val="_17_07_10_RS_&amp;_SECURITY"/>
      <sheetName val="17_07_10_CIVIL_WET"/>
      <sheetName val="_17_07_10_CIVIL"/>
      <sheetName val="_17_07_10_MECH-FAB"/>
      <sheetName val="_17_07_10_MECH-TANK"/>
      <sheetName val="Factor Sheet"/>
      <sheetName val="Wire"/>
      <sheetName val="InputPO_Del"/>
      <sheetName val="BOQ_Direct_selling_cost"/>
      <sheetName val="  ¢_x0002_&amp;_x0000__x0000__x0000_ú5#_x0000__x0000__x0000__x0000__x0000__x0000__x0000_"/>
      <sheetName val="  ¢_x0002_&amp;???ú5#???????"/>
      <sheetName val="x-items"/>
      <sheetName val="08.07.10헾】_x0005_??_x0005__x0000__x0000_"/>
      <sheetName val=" bus bay"/>
      <sheetName val="doq-10"/>
      <sheetName val="doq-I"/>
      <sheetName val="doq 4"/>
      <sheetName val="doq 2"/>
      <sheetName val="pol-60"/>
      <sheetName val="STAFFSCHED "/>
      <sheetName val="FitOutConfCentre"/>
      <sheetName val="India F&amp;S Template"/>
      <sheetName val="08.07.10헾】_x0005_????菈_x0013_"/>
      <sheetName val="08.07.10헾】_x0005__x0000__x0000"/>
      <sheetName val="08.07.10헾】_x0005_____ꎋ"/>
      <sheetName val="FT-05-02IsoBOM"/>
      <sheetName val="08.07.10헾】_x0005_"/>
      <sheetName val="Variables"/>
      <sheetName val="foot-slab reinft"/>
      <sheetName val="III floor beam addl"/>
      <sheetName val="beam-reinft-mezzanine floor"/>
      <sheetName val="Indices-final"/>
      <sheetName val="foot_slab reinft"/>
      <sheetName val="Lab"/>
      <sheetName val="Material&amp;equipment"/>
      <sheetName val="Coalmine"/>
      <sheetName val="Mix Design"/>
      <sheetName val="std-rates"/>
      <sheetName val="#REF"/>
      <sheetName val="girder"/>
      <sheetName val="Assmpns"/>
      <sheetName val="Rocker"/>
      <sheetName val="98Price"/>
      <sheetName val="beam-reinft-machine rm"/>
      <sheetName val="BLK2"/>
      <sheetName val="BLK3"/>
      <sheetName val="E &amp; R"/>
      <sheetName val="radar"/>
      <sheetName val="UG"/>
      <sheetName val="foot-slab_reinft"/>
      <sheetName val="III_floor_beam_addl"/>
      <sheetName val="beam-reinft-mezzanine_floor"/>
      <sheetName val="foot_slab_reinft"/>
      <sheetName val="Rate_analysis"/>
      <sheetName val="Debits_as_on_12_04_08"/>
      <sheetName val="Staff_Acco_"/>
      <sheetName val="Materials Cost"/>
      <sheetName val="foot-slab_reinft2"/>
      <sheetName val="beam-reinft-IIInd_floor2"/>
      <sheetName val="III_floor_beam_addl2"/>
      <sheetName val="beam-reinft-mezzanine_floor2"/>
      <sheetName val="foot_slab_reinft2"/>
      <sheetName val="Rate_analysis2"/>
      <sheetName val="Debits_as_on_12_04_082"/>
      <sheetName val="Staff_Acco_2"/>
      <sheetName val="foot-slab_reinft1"/>
      <sheetName val="beam-reinft-IIInd_floor1"/>
      <sheetName val="III_floor_beam_addl1"/>
      <sheetName val="beam-reinft-mezzanine_floor1"/>
      <sheetName val="foot_slab_reinft1"/>
      <sheetName val="Rate_analysis1"/>
      <sheetName val="Debits_as_on_12_04_081"/>
      <sheetName val="Staff_Acco_1"/>
      <sheetName val="foot-slab_reinft3"/>
      <sheetName val="beam-reinft-IIInd_floor3"/>
      <sheetName val="III_floor_beam_addl3"/>
      <sheetName val="beam-reinft-mezzanine_floor3"/>
      <sheetName val="foot_slab_reinft3"/>
      <sheetName val="Rate_analysis3"/>
      <sheetName val="Debits_as_on_12_04_083"/>
      <sheetName val="Staff_Acco_3"/>
      <sheetName val="foot-slab_reinft4"/>
      <sheetName val="beam-reinft-IIInd_floor4"/>
      <sheetName val="III_floor_beam_addl4"/>
      <sheetName val="beam-reinft-mezzanine_floor4"/>
      <sheetName val="foot_slab_reinft4"/>
      <sheetName val="Rate_analysis4"/>
      <sheetName val="Debits_as_on_12_04_084"/>
      <sheetName val="Staff_Acco_4"/>
      <sheetName val="foot-slab_reinft5"/>
      <sheetName val="beam-reinft-IIInd_floor5"/>
      <sheetName val="III_floor_beam_addl5"/>
      <sheetName val="beam-reinft-mezzanine_floor5"/>
      <sheetName val="foot_slab_reinft5"/>
      <sheetName val="Rate_analysis5"/>
      <sheetName val="Debits_as_on_12_04_085"/>
      <sheetName val="Staff_Acco_5"/>
      <sheetName val="foot-slab_reinft6"/>
      <sheetName val="beam-reinft-IIInd_floor6"/>
      <sheetName val="III_floor_beam_addl6"/>
      <sheetName val="beam-reinft-mezzanine_floor6"/>
      <sheetName val="foot_slab_reinft6"/>
      <sheetName val="Rate_analysis6"/>
      <sheetName val="Debits_as_on_12_04_086"/>
      <sheetName val="Staff_Acco_6"/>
      <sheetName val="foot-slab_reinft7"/>
      <sheetName val="beam-reinft-IIInd_floor7"/>
      <sheetName val="III_floor_beam_addl7"/>
      <sheetName val="beam-reinft-mezzanine_floor7"/>
      <sheetName val="foot_slab_reinft7"/>
      <sheetName val="Rate_analysis7"/>
      <sheetName val="Debits_as_on_12_04_087"/>
      <sheetName val="Staff_Acco_7"/>
      <sheetName val="foot-slab_reinft8"/>
      <sheetName val="beam-reinft-IIInd_floor8"/>
      <sheetName val="III_floor_beam_addl8"/>
      <sheetName val="beam-reinft-mezzanine_floor8"/>
      <sheetName val="foot_slab_reinft8"/>
      <sheetName val="Rate_analysis8"/>
      <sheetName val="Debits_as_on_12_04_088"/>
      <sheetName val="Staff_Acco_8"/>
      <sheetName val="foot-slab_reinft14"/>
      <sheetName val="beam-reinft-IIInd_floor14"/>
      <sheetName val="III_floor_beam_addl14"/>
      <sheetName val="beam-reinft-mezzanine_floor14"/>
      <sheetName val="foot_slab_reinft14"/>
      <sheetName val="Rate_analysis14"/>
      <sheetName val="Debits_as_on_12_04_0814"/>
      <sheetName val="Staff_Acco_14"/>
      <sheetName val="foot-slab_reinft10"/>
      <sheetName val="beam-reinft-IIInd_floor10"/>
      <sheetName val="III_floor_beam_addl10"/>
      <sheetName val="beam-reinft-mezzanine_floor10"/>
      <sheetName val="foot_slab_reinft10"/>
      <sheetName val="Rate_analysis10"/>
      <sheetName val="Debits_as_on_12_04_0810"/>
      <sheetName val="Staff_Acco_10"/>
      <sheetName val="foot-slab_reinft9"/>
      <sheetName val="beam-reinft-IIInd_floor9"/>
      <sheetName val="III_floor_beam_addl9"/>
      <sheetName val="beam-reinft-mezzanine_floor9"/>
      <sheetName val="foot_slab_reinft9"/>
      <sheetName val="Rate_analysis9"/>
      <sheetName val="Debits_as_on_12_04_089"/>
      <sheetName val="Staff_Acco_9"/>
      <sheetName val="foot-slab_reinft11"/>
      <sheetName val="beam-reinft-IIInd_floor11"/>
      <sheetName val="III_floor_beam_addl11"/>
      <sheetName val="beam-reinft-mezzanine_floor11"/>
      <sheetName val="foot_slab_reinft11"/>
      <sheetName val="Rate_analysis11"/>
      <sheetName val="Debits_as_on_12_04_0811"/>
      <sheetName val="Staff_Acco_11"/>
      <sheetName val="foot-slab_reinft12"/>
      <sheetName val="beam-reinft-IIInd_floor12"/>
      <sheetName val="III_floor_beam_addl12"/>
      <sheetName val="beam-reinft-mezzanine_floor12"/>
      <sheetName val="foot_slab_reinft12"/>
      <sheetName val="Rate_analysis12"/>
      <sheetName val="Debits_as_on_12_04_0812"/>
      <sheetName val="Staff_Acco_12"/>
      <sheetName val="foot-slab_reinft13"/>
      <sheetName val="beam-reinft-IIInd_floor13"/>
      <sheetName val="III_floor_beam_addl13"/>
      <sheetName val="beam-reinft-mezzanine_floor13"/>
      <sheetName val="foot_slab_reinft13"/>
      <sheetName val="Rate_analysis13"/>
      <sheetName val="Debits_as_on_12_04_0813"/>
      <sheetName val="Staff_Acco_13"/>
      <sheetName val="foot-slab_reinft20"/>
      <sheetName val="beam-reinft-IIInd_floor20"/>
      <sheetName val="III_floor_beam_addl20"/>
      <sheetName val="beam-reinft-mezzanine_floor20"/>
      <sheetName val="foot_slab_reinft20"/>
      <sheetName val="Rate_analysis20"/>
      <sheetName val="Debits_as_on_12_04_0820"/>
      <sheetName val="Staff_Acco_20"/>
      <sheetName val="foot-slab_reinft15"/>
      <sheetName val="beam-reinft-IIInd_floor15"/>
      <sheetName val="III_floor_beam_addl15"/>
      <sheetName val="beam-reinft-mezzanine_floor15"/>
      <sheetName val="foot_slab_reinft15"/>
      <sheetName val="Rate_analysis15"/>
      <sheetName val="Debits_as_on_12_04_0815"/>
      <sheetName val="Staff_Acco_15"/>
      <sheetName val="foot-slab_reinft16"/>
      <sheetName val="beam-reinft-IIInd_floor16"/>
      <sheetName val="III_floor_beam_addl16"/>
      <sheetName val="beam-reinft-mezzanine_floor16"/>
      <sheetName val="foot_slab_reinft16"/>
      <sheetName val="Rate_analysis16"/>
      <sheetName val="Debits_as_on_12_04_0816"/>
      <sheetName val="Staff_Acco_16"/>
      <sheetName val="E_&amp;_R3"/>
      <sheetName val="beam-reinft-machine_rm3"/>
      <sheetName val="TBAL9697_-group_wise__sdpl3"/>
      <sheetName val="India_F&amp;S_Template3"/>
      <sheetName val="foot-slab_reinft17"/>
      <sheetName val="beam-reinft-IIInd_floor17"/>
      <sheetName val="III_floor_beam_addl17"/>
      <sheetName val="beam-reinft-mezzanine_floor17"/>
      <sheetName val="foot_slab_reinft17"/>
      <sheetName val="Rate_analysis17"/>
      <sheetName val="Debits_as_on_12_04_0817"/>
      <sheetName val="Staff_Acco_17"/>
      <sheetName val="E_&amp;_R"/>
      <sheetName val="beam-reinft-machine_rm"/>
      <sheetName val="India_F&amp;S_Template"/>
      <sheetName val="foot-slab_reinft18"/>
      <sheetName val="beam-reinft-IIInd_floor18"/>
      <sheetName val="III_floor_beam_addl18"/>
      <sheetName val="beam-reinft-mezzanine_floor18"/>
      <sheetName val="foot_slab_reinft18"/>
      <sheetName val="Rate_analysis18"/>
      <sheetName val="Debits_as_on_12_04_0818"/>
      <sheetName val="Staff_Acco_18"/>
      <sheetName val="E_&amp;_R1"/>
      <sheetName val="beam-reinft-machine_rm1"/>
      <sheetName val="India_F&amp;S_Template1"/>
      <sheetName val="foot-slab_reinft19"/>
      <sheetName val="beam-reinft-IIInd_floor19"/>
      <sheetName val="III_floor_beam_addl19"/>
      <sheetName val="beam-reinft-mezzanine_floor19"/>
      <sheetName val="foot_slab_reinft19"/>
      <sheetName val="Rate_analysis19"/>
      <sheetName val="Debits_as_on_12_04_0819"/>
      <sheetName val="Staff_Acco_19"/>
      <sheetName val="E_&amp;_R2"/>
      <sheetName val="beam-reinft-machine_rm2"/>
      <sheetName val="India_F&amp;S_Template2"/>
      <sheetName val="foot-slab_reinft21"/>
      <sheetName val="beam-reinft-IIInd_floor21"/>
      <sheetName val="III_floor_beam_addl21"/>
      <sheetName val="beam-reinft-mezzanine_floor21"/>
      <sheetName val="foot_slab_reinft21"/>
      <sheetName val="Rate_analysis21"/>
      <sheetName val="Debits_as_on_12_04_0821"/>
      <sheetName val="Staff_Acco_21"/>
      <sheetName val="E_&amp;_R4"/>
      <sheetName val="beam-reinft-machine_rm4"/>
      <sheetName val="TBAL9697_-group_wise__sdpl4"/>
      <sheetName val="India_F&amp;S_Template4"/>
      <sheetName val="foot-slab_reinft22"/>
      <sheetName val="beam-reinft-IIInd_floor22"/>
      <sheetName val="III_floor_beam_addl22"/>
      <sheetName val="beam-reinft-mezzanine_floor22"/>
      <sheetName val="foot_slab_reinft22"/>
      <sheetName val="Rate_analysis22"/>
      <sheetName val="Debits_as_on_12_04_0822"/>
      <sheetName val="Staff_Acco_22"/>
      <sheetName val="E_&amp;_R5"/>
      <sheetName val="beam-reinft-machine_rm5"/>
      <sheetName val="TBAL9697_-group_wise__sdpl5"/>
      <sheetName val="India_F&amp;S_Template5"/>
      <sheetName val="見積書"/>
      <sheetName val="precast RC element"/>
      <sheetName val="foot-slab_reinft23"/>
      <sheetName val="beam-reinft-IIInd_floor23"/>
      <sheetName val="III_floor_beam_addl23"/>
      <sheetName val="beam-reinft-mezzanine_floor23"/>
      <sheetName val="foot_slab_reinft23"/>
      <sheetName val="Rate_analysis23"/>
      <sheetName val="Debits_as_on_12_04_0823"/>
      <sheetName val="Staff_Acco_23"/>
      <sheetName val="E_&amp;_R6"/>
      <sheetName val="beam-reinft-machine_rm6"/>
      <sheetName val="TBAL9697_-group_wise__sdpl6"/>
      <sheetName val="India_F&amp;S_Template6"/>
      <sheetName val="foot-slab_reinft24"/>
      <sheetName val="beam-reinft-IIInd_floor24"/>
      <sheetName val="III_floor_beam_addl24"/>
      <sheetName val="beam-reinft-mezzanine_floor24"/>
      <sheetName val="foot_slab_reinft24"/>
      <sheetName val="Rate_analysis24"/>
      <sheetName val="Debits_as_on_12_04_0824"/>
      <sheetName val="Staff_Acco_24"/>
      <sheetName val="E_&amp;_R7"/>
      <sheetName val="beam-reinft-machine_rm7"/>
      <sheetName val="TBAL9697_-group_wise__sdpl7"/>
      <sheetName val="India_F&amp;S_Template7"/>
      <sheetName val="Cabinet"/>
      <sheetName val="beam-slab shuttering"/>
      <sheetName val="col-shuttering"/>
      <sheetName val="slab-reinft1"/>
      <sheetName val="Slab-reinft2"/>
      <sheetName val="col-reinft"/>
      <sheetName val="Indices"/>
      <sheetName val="beam id's"/>
      <sheetName val="slab barnos"/>
      <sheetName val="col_reinft1"/>
      <sheetName val="R20_R30_work"/>
      <sheetName val="Materials Cost(PCC)"/>
      <sheetName val="basic-data"/>
      <sheetName val="mem-property"/>
      <sheetName val="Cost summary"/>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ost_any"/>
      <sheetName val="A.O.R."/>
      <sheetName val="foot-slab_reinft30"/>
      <sheetName val="beam-reinft-IIInd_floor30"/>
      <sheetName val="III_floor_beam_addl30"/>
      <sheetName val="beam-reinft-mezzanine_floor30"/>
      <sheetName val="foot_slab_reinft30"/>
      <sheetName val="Rate_analysis29"/>
      <sheetName val="foot-slab_reinft25"/>
      <sheetName val="beam-reinft-IIInd_floor25"/>
      <sheetName val="III_floor_beam_addl25"/>
      <sheetName val="beam-reinft-mezzanine_floor25"/>
      <sheetName val="foot_slab_reinft25"/>
      <sheetName val="foot-slab_reinft29"/>
      <sheetName val="beam-reinft-IIInd_floor29"/>
      <sheetName val="III_floor_beam_addl29"/>
      <sheetName val="beam-reinft-mezzanine_floor29"/>
      <sheetName val="foot_slab_reinft29"/>
      <sheetName val="Rate_analysis28"/>
      <sheetName val="foot-slab_reinft26"/>
      <sheetName val="beam-reinft-IIInd_floor26"/>
      <sheetName val="III_floor_beam_addl26"/>
      <sheetName val="beam-reinft-mezzanine_floor26"/>
      <sheetName val="foot_slab_reinft26"/>
      <sheetName val="Rate_analysis25"/>
      <sheetName val="foot-slab_reinft27"/>
      <sheetName val="beam-reinft-IIInd_floor27"/>
      <sheetName val="III_floor_beam_addl27"/>
      <sheetName val="beam-reinft-mezzanine_floor27"/>
      <sheetName val="foot_slab_reinft27"/>
      <sheetName val="Rate_analysis26"/>
      <sheetName val="foot-slab_reinft28"/>
      <sheetName val="beam-reinft-IIInd_floor28"/>
      <sheetName val="III_floor_beam_addl28"/>
      <sheetName val="beam-reinft-mezzanine_floor28"/>
      <sheetName val="foot_slab_reinft28"/>
      <sheetName val="Rate_analysis27"/>
      <sheetName val="foot-slab_reinft31"/>
      <sheetName val="beam-reinft-IIInd_floor31"/>
      <sheetName val="III_floor_beam_addl31"/>
      <sheetName val="beam-reinft-mezzanine_floor31"/>
      <sheetName val="foot_slab_reinft31"/>
      <sheetName val="Rate_analysis30"/>
      <sheetName val="foot-slab_reinft32"/>
      <sheetName val="beam-reinft-IIInd_floor32"/>
      <sheetName val="III_floor_beam_addl32"/>
      <sheetName val="beam-reinft-mezzanine_floor32"/>
      <sheetName val="foot_slab_reinft32"/>
      <sheetName val="Rate_analysis31"/>
      <sheetName val="foot-slab_reinft33"/>
      <sheetName val="beam-reinft-IIInd_floor33"/>
      <sheetName val="III_floor_beam_addl33"/>
      <sheetName val="beam-reinft-mezzanine_floor33"/>
      <sheetName val="foot_slab_reinft33"/>
      <sheetName val="Rate_analysis32"/>
      <sheetName val="foot-slab_reinft38"/>
      <sheetName val="beam-reinft-IIInd_floor38"/>
      <sheetName val="III_floor_beam_addl38"/>
      <sheetName val="beam-reinft-mezzanine_floor38"/>
      <sheetName val="foot_slab_reinft38"/>
      <sheetName val="Rate_analysis37"/>
      <sheetName val="foot-slab_reinft34"/>
      <sheetName val="beam-reinft-IIInd_floor34"/>
      <sheetName val="III_floor_beam_addl34"/>
      <sheetName val="beam-reinft-mezzanine_floor34"/>
      <sheetName val="foot_slab_reinft34"/>
      <sheetName val="Rate_analysis33"/>
      <sheetName val="foot-slab_reinft36"/>
      <sheetName val="beam-reinft-IIInd_floor36"/>
      <sheetName val="III_floor_beam_addl36"/>
      <sheetName val="beam-reinft-mezzanine_floor36"/>
      <sheetName val="foot_slab_reinft36"/>
      <sheetName val="Rate_analysis35"/>
      <sheetName val="foot-slab_reinft35"/>
      <sheetName val="beam-reinft-IIInd_floor35"/>
      <sheetName val="III_floor_beam_addl35"/>
      <sheetName val="beam-reinft-mezzanine_floor35"/>
      <sheetName val="foot_slab_reinft35"/>
      <sheetName val="Rate_analysis34"/>
      <sheetName val="foot-slab_reinft37"/>
      <sheetName val="beam-reinft-IIInd_floor37"/>
      <sheetName val="III_floor_beam_addl37"/>
      <sheetName val="beam-reinft-mezzanine_floor37"/>
      <sheetName val="foot_slab_reinft37"/>
      <sheetName val="Rate_analysis36"/>
      <sheetName val="foot-slab_reinft39"/>
      <sheetName val="beam-reinft-IIInd_floor39"/>
      <sheetName val="III_floor_beam_addl39"/>
      <sheetName val="beam-reinft-mezzanine_floor39"/>
      <sheetName val="foot_slab_reinft39"/>
      <sheetName val="Rate_analysis38"/>
      <sheetName val="foot-slab_reinft40"/>
      <sheetName val="beam-reinft-IIInd_floor40"/>
      <sheetName val="III_floor_beam_addl40"/>
      <sheetName val="beam-reinft-mezzanine_floor40"/>
      <sheetName val="foot_slab_reinft40"/>
      <sheetName val="Rate_analysis39"/>
      <sheetName val="foot-slab_reinft41"/>
      <sheetName val="beam-reinft-IIInd_floor41"/>
      <sheetName val="III_floor_beam_addl41"/>
      <sheetName val="beam-reinft-mezzanine_floor41"/>
      <sheetName val="foot_slab_reinft41"/>
      <sheetName val="Rate_analysis40"/>
      <sheetName val="foot-slab_reinft42"/>
      <sheetName val="beam-reinft-IIInd_floor42"/>
      <sheetName val="III_floor_beam_addl42"/>
      <sheetName val="beam-reinft-mezzanine_floor42"/>
      <sheetName val="foot_slab_reinft42"/>
      <sheetName val="Rate_analysis41"/>
      <sheetName val="foot-slab_reinft43"/>
      <sheetName val="beam-reinft-IIInd_floor43"/>
      <sheetName val="III_floor_beam_addl43"/>
      <sheetName val="beam-reinft-mezzanine_floor43"/>
      <sheetName val="foot_slab_reinft43"/>
      <sheetName val="Rate_analysis42"/>
      <sheetName val="foot-slab_reinft44"/>
      <sheetName val="beam-reinft-IIInd_floor44"/>
      <sheetName val="III_floor_beam_addl44"/>
      <sheetName val="beam-reinft-mezzanine_floor44"/>
      <sheetName val="foot_slab_reinft44"/>
      <sheetName val="Rate_analysis43"/>
      <sheetName val="foot-slab_reinft47"/>
      <sheetName val="beam-reinft-IIInd_floor47"/>
      <sheetName val="III_floor_beam_addl47"/>
      <sheetName val="beam-reinft-mezzanine_floor47"/>
      <sheetName val="foot_slab_reinft47"/>
      <sheetName val="Rate_analysis46"/>
      <sheetName val="foot-slab_reinft46"/>
      <sheetName val="beam-reinft-IIInd_floor46"/>
      <sheetName val="III_floor_beam_addl46"/>
      <sheetName val="beam-reinft-mezzanine_floor46"/>
      <sheetName val="foot_slab_reinft46"/>
      <sheetName val="Rate_analysis45"/>
      <sheetName val="foot-slab_reinft45"/>
      <sheetName val="beam-reinft-IIInd_floor45"/>
      <sheetName val="III_floor_beam_addl45"/>
      <sheetName val="beam-reinft-mezzanine_floor45"/>
      <sheetName val="foot_slab_reinft45"/>
      <sheetName val="Rate_analysis44"/>
      <sheetName val="foot-slab_reinft48"/>
      <sheetName val="beam-reinft-IIInd_floor48"/>
      <sheetName val="III_floor_beam_addl48"/>
      <sheetName val="beam-reinft-mezzanine_floor48"/>
      <sheetName val="foot_slab_reinft48"/>
      <sheetName val="Rate_analysis47"/>
      <sheetName val="foot-slab_reinft49"/>
      <sheetName val="beam-reinft-IIInd_floor49"/>
      <sheetName val="III_floor_beam_addl49"/>
      <sheetName val="beam-reinft-mezzanine_floor49"/>
      <sheetName val="foot_slab_reinft49"/>
      <sheetName val="Rate_analysis48"/>
      <sheetName val="foot-slab_reinft50"/>
      <sheetName val="beam-reinft-IIInd_floor50"/>
      <sheetName val="III_floor_beam_addl50"/>
      <sheetName val="beam-reinft-mezzanine_floor50"/>
      <sheetName val="foot_slab_reinft50"/>
      <sheetName val="Rate_analysis49"/>
      <sheetName val="foot-slab_reinft51"/>
      <sheetName val="beam-reinft-IIInd_floor51"/>
      <sheetName val="III_floor_beam_addl51"/>
      <sheetName val="beam-reinft-mezzanine_floor51"/>
      <sheetName val="foot_slab_reinft51"/>
      <sheetName val="Rate_analysis50"/>
      <sheetName val="foot-slab_reinft54"/>
      <sheetName val="beam-reinft-IIInd_floor54"/>
      <sheetName val="III_floor_beam_addl54"/>
      <sheetName val="beam-reinft-mezzanine_floor54"/>
      <sheetName val="foot_slab_reinft54"/>
      <sheetName val="Rate_analysis53"/>
      <sheetName val="foot-slab_reinft53"/>
      <sheetName val="beam-reinft-IIInd_floor53"/>
      <sheetName val="III_floor_beam_addl53"/>
      <sheetName val="beam-reinft-mezzanine_floor53"/>
      <sheetName val="foot_slab_reinft53"/>
      <sheetName val="Rate_analysis52"/>
      <sheetName val="foot-slab_reinft52"/>
      <sheetName val="beam-reinft-IIInd_floor52"/>
      <sheetName val="III_floor_beam_addl52"/>
      <sheetName val="beam-reinft-mezzanine_floor52"/>
      <sheetName val="foot_slab_reinft52"/>
      <sheetName val="Rate_analysis51"/>
      <sheetName val="foot-slab_reinft55"/>
      <sheetName val="beam-reinft-IIInd_floor55"/>
      <sheetName val="III_floor_beam_addl55"/>
      <sheetName val="beam-reinft-mezzanine_floor55"/>
      <sheetName val="foot_slab_reinft55"/>
      <sheetName val="Rate_analysis54"/>
      <sheetName val="Dor Abs"/>
      <sheetName val="Dor Detail"/>
      <sheetName val="Dor Detail (2)"/>
      <sheetName val="ABST"/>
      <sheetName val="MEAS"/>
      <sheetName val="R.A."/>
      <sheetName val="MTCOST"/>
      <sheetName val="face"/>
      <sheetName val="GD."/>
      <sheetName val="Sheet9"/>
      <sheetName val="Sheet10"/>
      <sheetName val="Sheet11"/>
      <sheetName val="Sheet12"/>
      <sheetName val="Sheet13"/>
      <sheetName val="Sheet14"/>
      <sheetName val="Sheet15"/>
      <sheetName val="Sheet16"/>
      <sheetName val="Rate"/>
      <sheetName val="SOR"/>
      <sheetName val="EW"/>
      <sheetName val="STR1"/>
      <sheetName val="STR2"/>
      <sheetName val="STR3"/>
      <sheetName val="LIN1"/>
      <sheetName val="LIN2"/>
      <sheetName val="typical subminor"/>
      <sheetName val="machi"/>
      <sheetName val="TRANS1"/>
      <sheetName val="mes-fb"/>
      <sheetName val="mes-pl"/>
      <sheetName val="XL4Test5"/>
      <sheetName val="Top Sheet "/>
      <sheetName val="Main Sheet"/>
      <sheetName val="SOR-BR"/>
      <sheetName val="SE1-abs"/>
      <sheetName val="SE1- Detailed"/>
      <sheetName val="SE 2-Abstract"/>
      <sheetName val="SE 2-Detailed"/>
      <sheetName val="SE 3.-abs"/>
      <sheetName val="SE 3.-Detailed"/>
      <sheetName val="SE4 ABs"/>
      <sheetName val="SE 4-Detailed"/>
      <sheetName val="SE 5-Abs"/>
      <sheetName val="SE 5-detailed"/>
      <sheetName val="SE 6-abs"/>
      <sheetName val="SE 6-Detailed"/>
      <sheetName val="SE 7.-abs"/>
      <sheetName val="SE 7.-Detailed"/>
      <sheetName val="SE8 ab"/>
      <sheetName val="SE8-Detailed."/>
      <sheetName val="SE9-abs"/>
      <sheetName val="SE9-Detailed"/>
      <sheetName val="SE 10-abs"/>
      <sheetName val="SE 10-detailed"/>
      <sheetName val="SE 11 -Abs"/>
      <sheetName val="SE 11 -Detailed"/>
      <sheetName val="RA1-11"/>
      <sheetName val="RA12-15"/>
      <sheetName val="RA16"/>
      <sheetName val="RA17"/>
      <sheetName val="RA18. "/>
      <sheetName val="RA19 "/>
      <sheetName val="RA20"/>
      <sheetName val="RA21 "/>
      <sheetName val="RA22 "/>
      <sheetName val="RA23 "/>
      <sheetName val="RA24 "/>
      <sheetName val="RA25"/>
      <sheetName val="RA26 "/>
      <sheetName val="RA27 "/>
      <sheetName val="RA28"/>
      <sheetName val="RA29"/>
      <sheetName val="RA 30"/>
      <sheetName val="BBS"/>
      <sheetName val="For WS"/>
      <sheetName val="RA31"/>
      <sheetName val="RA32"/>
      <sheetName val="RA33"/>
      <sheetName val="Elec -1"/>
      <sheetName val="SE 4 Abs"/>
      <sheetName val="SE8-Abs"/>
      <sheetName val="SE8-Detailed"/>
      <sheetName val="SE 11AbS "/>
      <sheetName val="SE 11 Det"/>
      <sheetName val="Contents"/>
      <sheetName val="Plant &amp;  Machinery"/>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Abbreviations"/>
      <sheetName val="Basic Data"/>
      <sheetName val="Bhingarana"/>
      <sheetName val="FP"/>
      <sheetName val="Recap"/>
      <sheetName val="A1"/>
      <sheetName val="M1"/>
      <sheetName val="1-12"/>
      <sheetName val="20"/>
      <sheetName val="23-24-25"/>
      <sheetName val="RA Bldg"/>
      <sheetName val="Comp."/>
      <sheetName val="M2"/>
      <sheetName val="Bore Sump"/>
      <sheetName val="M3"/>
      <sheetName val="Gr Levelling"/>
      <sheetName val="M4"/>
      <sheetName val="Excess item me"/>
      <sheetName val="M5"/>
      <sheetName val="RA."/>
      <sheetName val="Parking"/>
      <sheetName val="M6"/>
      <sheetName val="Garden"/>
      <sheetName val="M7"/>
      <sheetName val="RA,."/>
      <sheetName val="Rain Water"/>
      <sheetName val="M8"/>
      <sheetName val="RA.,"/>
      <sheetName val="Tree"/>
      <sheetName val="M9"/>
      <sheetName val="RA,"/>
      <sheetName val="Drain"/>
      <sheetName val="M10"/>
      <sheetName val="RA,,"/>
      <sheetName val="Fire"/>
      <sheetName val="M11"/>
      <sheetName val="Trial Pit"/>
      <sheetName val="Proforma"/>
      <sheetName val="Kaj"/>
      <sheetName val="SE 4.-abs"/>
      <sheetName val="SE 4.-Detailed"/>
      <sheetName val="SE 8-abs"/>
      <sheetName val="SE 8-Detailed"/>
      <sheetName val="RA12-14"/>
      <sheetName val="RA15"/>
      <sheetName val="RA16 "/>
      <sheetName val="RA17 "/>
      <sheetName val="RA18 "/>
      <sheetName val="Trimix"/>
      <sheetName val="Panadar"/>
      <sheetName val="Key Instructions"/>
      <sheetName val="SR"/>
      <sheetName val="BOQ_Working"/>
      <sheetName val="Final BoQ Output"/>
      <sheetName val="SE 4-abs"/>
      <sheetName val="RA22"/>
      <sheetName val="Electrical"/>
      <sheetName val="Int(f)"/>
      <sheetName val="Ele"/>
      <sheetName val="Gwa(fin)"/>
      <sheetName val="TRA(Gwa)(f)"/>
      <sheetName val="DU(Gwa)"/>
      <sheetName val="DG(gwa)(f)"/>
      <sheetName val="Volt"/>
      <sheetName val="lt"/>
      <sheetName val="lt (2)"/>
      <sheetName val="Sqn"/>
      <sheetName val="wo"/>
      <sheetName val="Air"/>
      <sheetName val="DG set"/>
      <sheetName val="Rest"/>
      <sheetName val="MES"/>
      <sheetName val="void"/>
      <sheetName val="Gwa(fin) (2)"/>
      <sheetName val="horizontal"/>
      <sheetName val="Materials Cost_PCC_"/>
      <sheetName val="General Abstract"/>
      <sheetName val="Hotel Abs"/>
      <sheetName val="Hotel Det"/>
      <sheetName val="Water supply Abs"/>
      <sheetName val="Water supply Det"/>
      <sheetName val="Civil DATA"/>
      <sheetName val="ALL ITEMS-RATE16-17"/>
      <sheetName val="HOG DATA"/>
      <sheetName val="ALL ITEMS RATE-17-18"/>
      <sheetName val="Consolidate"/>
      <sheetName val="CAP- TEL"/>
      <sheetName val="CAP - Electrical "/>
      <sheetName val="CAP - Water "/>
      <sheetName val="CAP- SUNDRY"/>
      <sheetName val="CAP FURNITURE_2403 Revised"/>
      <sheetName val="CAP FURNITURE"/>
      <sheetName val="CAP- LOGISTICS"/>
      <sheetName val="REV- Telephone"/>
      <sheetName val="REV - Electrical Actuals"/>
      <sheetName val="REV - Water Actual"/>
      <sheetName val="REV Repairs &amp; Maintenance"/>
      <sheetName val="REV- Sundry Civil works"/>
      <sheetName val="REV Security services"/>
      <sheetName val="REV Housekeeping"/>
      <sheetName val="REV Furniture repair"/>
      <sheetName val="REV  Printing stationary"/>
      <sheetName val=" Rev Student stationery"/>
      <sheetName val="REV Cash Dept"/>
      <sheetName val="REV Cash"/>
      <sheetName val="Name List"/>
      <sheetName val="BLOCK MASONARY"/>
      <sheetName val="Business plan "/>
      <sheetName val="Comparative statement"/>
      <sheetName val="RA_markate"/>
      <sheetName val="Matsum"/>
      <sheetName val="Act.Exp"/>
      <sheetName val="OH WITH EVM"/>
      <sheetName val="CC with EVM"/>
      <sheetName val="Top &amp; remarks"/>
      <sheetName val="Matsum "/>
      <sheetName val="April'11 Target Vs actual"/>
      <sheetName val="EV perform"/>
      <sheetName val="EVM graph"/>
      <sheetName val="EVM Table"/>
      <sheetName val="Apportion amt"/>
      <sheetName val="cji3 upto Nov'10"/>
      <sheetName val="cji3 only Nov'10"/>
      <sheetName val="abs"/>
      <sheetName val="spe"/>
      <sheetName val="電気設備表"/>
      <sheetName val="Basis"/>
      <sheetName val="Inclusions"/>
      <sheetName val="Exclusions"/>
      <sheetName val="Areas"/>
      <sheetName val="SectionSummary"/>
      <sheetName val="Detailed Costplan 111"/>
      <sheetName val="Detailed Costplan 203"/>
      <sheetName val="Summary (2)"/>
      <sheetName val="Comparision"/>
      <sheetName val="compa"/>
      <sheetName val="Part II Subhead I(12-73)"/>
      <sheetName val="Basic Rates"/>
      <sheetName val="SubAnlysis"/>
      <sheetName val="Part II Subhead II"/>
      <sheetName val="Part II subhead III"/>
      <sheetName val="Lifts"/>
      <sheetName val="Part IV"/>
      <sheetName val="Rate Analysis in lifts"/>
      <sheetName val="Part II Subhead II(74-112)"/>
      <sheetName val="Part II subhead III(113-126)"/>
      <sheetName val="Part IV(138-166)"/>
      <sheetName val="ELEC-RA"/>
      <sheetName val="SEC-RA"/>
      <sheetName val="FPS-RA"/>
      <sheetName val="summary of item rate"/>
      <sheetName val="Rates compa"/>
      <sheetName val="Pumps"/>
      <sheetName val="QTY"/>
      <sheetName val="AEs PART-II"/>
      <sheetName val="AE PART-I"/>
      <sheetName val="Ele RA"/>
      <sheetName val="Fire Alarm RA"/>
      <sheetName val="Civil RA"/>
      <sheetName val="Blast doors"/>
      <sheetName val=" Basic Rates"/>
      <sheetName val="Ele RA "/>
      <sheetName val="bLAST DOOR RA"/>
      <sheetName val="k"/>
      <sheetName val="Final Estimate"/>
      <sheetName val="CST-I"/>
      <sheetName val="LOW RATES"/>
      <sheetName val="N"/>
      <sheetName val="O"/>
      <sheetName val="CST-O"/>
      <sheetName val="T.S"/>
      <sheetName val="Plinth Area Cost"/>
      <sheetName val="CST"/>
      <sheetName val="APP C"/>
      <sheetName val="APP D"/>
      <sheetName val="App J"/>
      <sheetName val="App K"/>
      <sheetName val="APP L"/>
      <sheetName val="App M"/>
      <sheetName val="App N"/>
      <sheetName val="App O"/>
      <sheetName val="SOLAR FENCE"/>
      <sheetName val="J1"/>
      <sheetName val="J2"/>
      <sheetName val="K1"/>
      <sheetName val="K2"/>
      <sheetName val="High Rates"/>
      <sheetName val="Paschal"/>
      <sheetName val="sca"/>
      <sheetName val="Ammendement"/>
      <sheetName val="Amd BOQ"/>
      <sheetName val="Cost Civil"/>
      <sheetName val="Civil-AOR"/>
      <sheetName val="Electrical AOR"/>
      <sheetName val="Subdetail"/>
      <sheetName val="Basic Rate"/>
      <sheetName val="T7 Buildestimate"/>
      <sheetName val="RA SOLAR"/>
      <sheetName val="Servieces"/>
      <sheetName val="Tunnel "/>
      <sheetName val="FF RA"/>
      <sheetName val="Vent Rate"/>
      <sheetName val="FAS RA"/>
      <sheetName val=" T7"/>
      <sheetName val="LATEST AE"/>
      <sheetName val="AE_I"/>
      <sheetName val="AE-II"/>
      <sheetName val="Rateanalysis"/>
      <sheetName val="FF_RA"/>
      <sheetName val="Power Supply FF RA"/>
      <sheetName val="ktr"/>
      <sheetName val="Part C - HardStand"/>
      <sheetName val="Est"/>
      <sheetName val="Final BOQ"/>
      <sheetName val="Steel Rate"/>
      <sheetName val="Septic Tank"/>
      <sheetName val="SUMMARY-1"/>
      <sheetName val="Material rate (2)"/>
      <sheetName val="Bldg-Wise"/>
      <sheetName val="Calculation"/>
      <sheetName val="CIVIL All"/>
      <sheetName val="DM Sheet"/>
      <sheetName val="GENABST"/>
      <sheetName val="PEA "/>
      <sheetName val="Indirect Cost"/>
      <sheetName val="RATE LIST CUM BOM"/>
      <sheetName val="Direct Cost A1 "/>
      <sheetName val="Direct cost shed A-3 Reservoirs"/>
      <sheetName val="shed A-4 Ancillary civil works"/>
      <sheetName val="she A-5 tools"/>
      <sheetName val="she A-6 sPARES"/>
      <sheetName val="price B(O&amp;M)"/>
      <sheetName val="Assets "/>
      <sheetName val="Electrical items-FROM SERVI.."/>
      <sheetName val="Sluice valve chambers"/>
      <sheetName val=" pump houses"/>
      <sheetName val="OHSR-cost analysis"/>
      <sheetName val="OHSR-analysis"/>
      <sheetName val="Air valve chambers"/>
      <sheetName val="Scour valve chambers"/>
      <sheetName val="Drainage-workings"/>
      <sheetName val="Transfer chamber-type B "/>
      <sheetName val="Transfer chamber-type A"/>
      <sheetName val="Electrical items"/>
      <sheetName val="Staff quarters"/>
      <sheetName val="internal roads"/>
      <sheetName val="Cost analysis for roads"/>
      <sheetName val=" Esti. of compound"/>
      <sheetName val="Cost analysis of compound"/>
      <sheetName val="Pipe Rates"/>
      <sheetName val="Rate list"/>
      <sheetName val="Consolidated"/>
      <sheetName val="Top Line - WWW"/>
      <sheetName val="Top Line - BUILDINGS"/>
      <sheetName val="Top Line - ROADS"/>
      <sheetName val="Top Line - POWER"/>
      <sheetName val="Top Line - INDUSTRIAL"/>
      <sheetName val="Top Line - IRRIGATION"/>
      <sheetName val="Cash Flow - WWW"/>
      <sheetName val="Cash Flow - BUILDINGS"/>
      <sheetName val="Cash Flow - ROADS"/>
      <sheetName val="Cash Flow - POWER"/>
      <sheetName val="Cash Flow - INDUSTRIAL"/>
      <sheetName val="Cash Flow - IRRIGATION"/>
      <sheetName val="Fund Requirement"/>
      <sheetName val="Business Development &amp; Orders"/>
      <sheetName val="Capital Expenses"/>
      <sheetName val="Overheads"/>
      <sheetName val="Organisation Chart"/>
      <sheetName val="Manpower Requirement"/>
      <sheetName val="Conversions"/>
      <sheetName val="C.L"/>
      <sheetName val="Report"/>
      <sheetName val="Part II Complnce.Reass Tech"/>
      <sheetName val="Part I Assessmnt rept Tech"/>
      <sheetName val="Systemic (Annex 2.01)"/>
      <sheetName val="Steel reconci (Annex 2.02)"/>
      <sheetName val="material rec Annex 2.03"/>
      <sheetName val="RMC rec Annex 2.04"/>
      <sheetName val="material rate comp annex 2.05"/>
      <sheetName val="WO Annex 2.06"/>
      <sheetName val="C L"/>
      <sheetName val="AMC Tech"/>
      <sheetName val="Finance Annex"/>
      <sheetName val="Reassess Techn"/>
      <sheetName val="Tech "/>
      <sheetName val="VO"/>
      <sheetName val="CASH CONTRACTS"/>
      <sheetName val="B2B &amp; OWN"/>
      <sheetName val="ZONE WISE"/>
      <sheetName val="S - Cash"/>
      <sheetName val="Gr Co Works"/>
      <sheetName val="Subsidiary Works"/>
      <sheetName val="Top Line"/>
      <sheetName val="Business Development"/>
      <sheetName val="Status of Works Quoted"/>
      <sheetName val="New Order Booking"/>
      <sheetName val="Order Book Status"/>
      <sheetName val="POWERPOINT BACKUP"/>
      <sheetName val="Cash Flows"/>
      <sheetName val="Fund"/>
      <sheetName val="Fund Support"/>
      <sheetName val="Lookahead"/>
      <sheetName val="Bottom Lines"/>
      <sheetName val="EVM"/>
      <sheetName val="Charts"/>
      <sheetName val="Chart"/>
      <sheetName val="Monthly MIS - B2B Contracts"/>
      <sheetName val="Job Exp Qtd Next month"/>
      <sheetName val="Job exp qtd rest of yr."/>
      <sheetName val="Fund Supports"/>
      <sheetName val="EVM x"/>
      <sheetName val="CS"/>
      <sheetName val="CS (3)"/>
      <sheetName val="CS (2)"/>
      <sheetName val="Annex 4.01"/>
      <sheetName val="DAR"/>
      <sheetName val="Status of work quo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row r="8">
          <cell r="C8">
            <v>35.112364499999998</v>
          </cell>
        </row>
      </sheetData>
      <sheetData sheetId="61" refreshError="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refreshError="1"/>
      <sheetData sheetId="329"/>
      <sheetData sheetId="330"/>
      <sheetData sheetId="331"/>
      <sheetData sheetId="332" refreshError="1"/>
      <sheetData sheetId="333"/>
      <sheetData sheetId="334"/>
      <sheetData sheetId="335"/>
      <sheetData sheetId="336"/>
      <sheetData sheetId="337"/>
      <sheetData sheetId="338"/>
      <sheetData sheetId="339"/>
      <sheetData sheetId="340" refreshError="1"/>
      <sheetData sheetId="341"/>
      <sheetData sheetId="342"/>
      <sheetData sheetId="343" refreshError="1"/>
      <sheetData sheetId="344" refreshError="1"/>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efreshError="1"/>
      <sheetData sheetId="481" refreshError="1"/>
      <sheetData sheetId="482" refreshError="1"/>
      <sheetData sheetId="483" refreshError="1"/>
      <sheetData sheetId="484" refreshError="1"/>
      <sheetData sheetId="485"/>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sheetData sheetId="500"/>
      <sheetData sheetId="501"/>
      <sheetData sheetId="502"/>
      <sheetData sheetId="503"/>
      <sheetData sheetId="504"/>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sheetData sheetId="519"/>
      <sheetData sheetId="520"/>
      <sheetData sheetId="521"/>
      <sheetData sheetId="522"/>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refreshError="1"/>
      <sheetData sheetId="1797"/>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BOM-abb "/>
      <sheetName val="st-new"/>
      <sheetName val="starter"/>
      <sheetName val="cost-abb"/>
      <sheetName val="est-abb"/>
      <sheetName val="cost-ge-new"/>
      <sheetName val="est-ge"/>
      <sheetName val="cost-mg"/>
      <sheetName val="est-mg"/>
      <sheetName val="co-ge"/>
      <sheetName val="bom"/>
      <sheetName val="moc"/>
      <sheetName val="price"/>
    </sheetNames>
    <sheetDataSet>
      <sheetData sheetId="0"/>
      <sheetData sheetId="1"/>
      <sheetData sheetId="2" refreshError="1">
        <row r="51">
          <cell r="R51">
            <v>2978.2240000000002</v>
          </cell>
        </row>
        <row r="61">
          <cell r="R61">
            <v>3589.3600000000006</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100.xml><?xml version="1.0" encoding="utf-8"?>
<externalLink xmlns="http://schemas.openxmlformats.org/spreadsheetml/2006/main">
  <externalBook xmlns:r="http://schemas.openxmlformats.org/officeDocument/2006/relationships" r:id="rId1">
    <sheetNames>
      <sheetName val="Lumpsum Sheet"/>
      <sheetName val="Final Bill of Material"/>
      <sheetName val="Installation &amp; Commissiong"/>
      <sheetName val="Operational Spares"/>
      <sheetName val="Training"/>
      <sheetName val="Optional UnPriced for 16 Chl"/>
      <sheetName val="Maintenance Contract"/>
    </sheetNames>
    <sheetDataSet>
      <sheetData sheetId="0"/>
      <sheetData sheetId="1"/>
      <sheetData sheetId="2"/>
      <sheetData sheetId="3"/>
      <sheetData sheetId="4"/>
      <sheetData sheetId="5"/>
      <sheetData sheetId="6"/>
    </sheetDataSet>
  </externalBook>
</externalLink>
</file>

<file path=xl/externalLinks/externalLink101.xml><?xml version="1.0" encoding="utf-8"?>
<externalLink xmlns="http://schemas.openxmlformats.org/spreadsheetml/2006/main">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 val="shuttering"/>
      <sheetName val="PRECAST lightconc-II"/>
      <sheetName val="Pile cap"/>
      <sheetName val="#REF!"/>
      <sheetName val="Abstract Sheet"/>
      <sheetName val="Sqn_Abs _G_1"/>
      <sheetName val="final abstract"/>
      <sheetName val="BOQ_Direct_selling cost"/>
      <sheetName val="sept-plan"/>
      <sheetName val="p&amp;m"/>
      <sheetName val="TBAL9697 -group wise  sdpl"/>
      <sheetName val="Legal Risk Analysis"/>
      <sheetName val="labour coeff"/>
      <sheetName val="COLUMN"/>
      <sheetName val="RCC,Ret. Wall"/>
      <sheetName val="Sqn-Abs _G+1"/>
      <sheetName val="SPT vs PHI"/>
      <sheetName val="E1"/>
      <sheetName val="Name Lists"/>
      <sheetName val="Mat.-Rates"/>
      <sheetName val="PointNo.5"/>
      <sheetName val="Plant Cost"/>
      <sheetName val="WWR"/>
      <sheetName val="Labour"/>
      <sheetName val="Supplier"/>
      <sheetName val="Variables"/>
      <sheetName val="RECAPITULATION"/>
      <sheetName val="Aseet1998"/>
      <sheetName val="SC revtrgt"/>
      <sheetName val="purpose&amp;input"/>
      <sheetName val="cubes_M20"/>
      <sheetName val="Pondichery Medical College - Ze"/>
      <sheetName val="Break up Sheet"/>
      <sheetName val="Detail"/>
      <sheetName val="7 Other Costs"/>
      <sheetName val="PL"/>
      <sheetName val="Fin Sum"/>
      <sheetName val="v"/>
      <sheetName val="Data"/>
      <sheetName val="r"/>
      <sheetName val="Risk &amp; Opportunities"/>
      <sheetName val="Inc.St.-Link"/>
      <sheetName val="Site wise GM"/>
      <sheetName val="Boq-Con"/>
      <sheetName val="V.O.4 - PCC Qty"/>
      <sheetName val="Main-Material"/>
      <sheetName val="LOCAL RATES"/>
      <sheetName val="Final Bill of Materi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102.xml><?xml version="1.0" encoding="utf-8"?>
<externalLink xmlns="http://schemas.openxmlformats.org/spreadsheetml/2006/main">
  <externalBook xmlns:r="http://schemas.openxmlformats.org/officeDocument/2006/relationships" r:id="rId1">
    <sheetNames>
      <sheetName val="Civil Boq"/>
      <sheetName val="Calculations"/>
      <sheetName val="List"/>
      <sheetName val="Pre-cast"/>
      <sheetName val="SPT vs PHI"/>
      <sheetName val="ANALYSIS"/>
      <sheetName val="Design"/>
      <sheetName val="std.wt."/>
      <sheetName val="RA-markate"/>
      <sheetName val="Material "/>
      <sheetName val="Pur"/>
      <sheetName val="E1"/>
      <sheetName val="PIpe Pushing"/>
      <sheetName val="Civil_Boq"/>
      <sheetName val="floor slab-RS2"/>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Staff Forecast spread"/>
      <sheetName val="BOQ_Direct_selling cost"/>
      <sheetName val="dummy"/>
      <sheetName val="switch"/>
      <sheetName val="149"/>
      <sheetName val="Break up Sheet"/>
      <sheetName val="moments-table(tri)"/>
      <sheetName val="conc-foot-gradeslab"/>
      <sheetName val="THK"/>
      <sheetName val="General Summary"/>
      <sheetName val="+X &amp; -X DIR PRE"/>
      <sheetName val="Civil_Boq1"/>
      <sheetName val="SPT_vs_PHI"/>
      <sheetName val="std_wt_"/>
      <sheetName val="Pile_cap"/>
      <sheetName val="Material_"/>
      <sheetName val="Chandrawal_-1"/>
      <sheetName val="Guide_VAT_ED_Credit"/>
      <sheetName val="AMC_&amp;_O&amp;M"/>
      <sheetName val="JTS_Costing"/>
      <sheetName val="PRECAST lightconc-II"/>
      <sheetName val="COLUMN"/>
      <sheetName val="Abstract Sheet"/>
      <sheetName val="Legal Risk Analysis"/>
      <sheetName val="sept-plan"/>
      <sheetName val="Notes"/>
      <sheetName val="V.O.4 - PCC Qty"/>
      <sheetName val="TBAL9697 -group wise  sdpl"/>
      <sheetName val="Field Values"/>
      <sheetName val="d-safe specs"/>
      <sheetName val="RES-PLANNING"/>
      <sheetName val="Pay_Sep06"/>
      <sheetName val="Sheet4"/>
      <sheetName val="Main-Material"/>
      <sheetName val="girder"/>
      <sheetName val="13. Steel - Ratio"/>
      <sheetName val="Footings"/>
      <sheetName val="WPR-IV"/>
      <sheetName val="Labour productivity"/>
      <sheetName val="Supplier"/>
      <sheetName val="CABLE DATA"/>
      <sheetName val="organi synthesis lab"/>
      <sheetName val="INPUT SHEET"/>
      <sheetName val="Extra Item"/>
      <sheetName val="Fill this out first..."/>
      <sheetName val="Lead"/>
      <sheetName val="Labour &amp; Plant"/>
      <sheetName val="Project Budget Worksheet"/>
      <sheetName val="TASKRSRC (2)"/>
      <sheetName val="TARGET"/>
      <sheetName val="BASELINE"/>
      <sheetName val="Fin Sum"/>
      <sheetName val="p&amp;m"/>
      <sheetName val="BOQ -II ph 2"/>
      <sheetName val="shuttering"/>
      <sheetName val="FORM7"/>
      <sheetName val="GBW"/>
      <sheetName val="2.1 受電設備棟"/>
      <sheetName val="2.2 受・防火水槽"/>
      <sheetName val="2.3 排水処理設備棟"/>
      <sheetName val="2.4 倉庫棟"/>
      <sheetName val="2.5 守衛棟"/>
      <sheetName val="RCC,Ret. Wall"/>
      <sheetName val="PointNo.5"/>
      <sheetName val="UNIT2"/>
      <sheetName val="DETAIL SHEET"/>
      <sheetName val="Detail"/>
      <sheetName val="d-safe DELUXE"/>
      <sheetName val="Sheet1"/>
      <sheetName val="1.01 (a)"/>
      <sheetName val="T1037 Entire School"/>
      <sheetName val="RMZ Summary"/>
      <sheetName val="Employee List"/>
      <sheetName val="Balance sheet"/>
      <sheetName val="BOQ fire proofing"/>
      <sheetName val="Input"/>
      <sheetName val="MainSheet"/>
      <sheetName val="LABOUR"/>
      <sheetName val="STAFFSCHED "/>
      <sheetName val="dBase"/>
      <sheetName val="PRECAST lightconc_II"/>
      <sheetName val="Voucher"/>
      <sheetName val="Basement Budget"/>
      <sheetName val="IO LIST"/>
      <sheetName val="Plant Cost"/>
      <sheetName val="spool"/>
      <sheetName val="Aseet1998"/>
      <sheetName val="PC Master List"/>
      <sheetName val="Storage"/>
      <sheetName val="HEAD"/>
      <sheetName val="RECAPITULATION"/>
      <sheetName val="cubes_M20"/>
      <sheetName val="Cashflow projection"/>
      <sheetName val="1st and 4th flight"/>
      <sheetName val="P&amp;L-BDMC"/>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Set>
  </externalBook>
</externalLink>
</file>

<file path=xl/externalLinks/externalLink103.xml><?xml version="1.0" encoding="utf-8"?>
<externalLink xmlns="http://schemas.openxmlformats.org/spreadsheetml/2006/main">
  <externalBook xmlns:r="http://schemas.openxmlformats.org/officeDocument/2006/relationships" r:id="rId1">
    <sheetNames>
      <sheetName val="Zone-1"/>
      <sheetName val="Zone-2"/>
      <sheetName val="Zone-3"/>
      <sheetName val="Zone-3 (alt)"/>
      <sheetName val="Abstract"/>
      <sheetName val="PS1"/>
      <sheetName val="Sheet1"/>
      <sheetName val="Loads"/>
      <sheetName val="IO LIST"/>
      <sheetName val="Indices"/>
      <sheetName val="DetEst"/>
      <sheetName val="labour"/>
      <sheetName val="Boq"/>
      <sheetName val="Publicbuilding"/>
      <sheetName val="LOCAL RATES"/>
      <sheetName val="Material"/>
      <sheetName val="Plant &amp;  Machinery"/>
      <sheetName val="Civil Boq"/>
      <sheetName val="Output"/>
      <sheetName val="Cash Flow Working"/>
      <sheetName val="FORM7"/>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04.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 val="BOQ"/>
      <sheetName val="TBAL9697 -group wise  sdpl"/>
      <sheetName val="SPT vs PHI"/>
      <sheetName val="p&amp;m"/>
      <sheetName val="Legal Risk Analysis"/>
      <sheetName val="sept-plan"/>
      <sheetName val="FORM7"/>
      <sheetName val="Lead"/>
      <sheetName val="RCC,Ret. Wall"/>
      <sheetName val="concrete"/>
      <sheetName val="beam-reinft"/>
      <sheetName val="PS1"/>
      <sheetName val="Civil Boq"/>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5.xml><?xml version="1.0" encoding="utf-8"?>
<externalLink xmlns="http://schemas.openxmlformats.org/spreadsheetml/2006/main">
  <externalBook xmlns:r="http://schemas.openxmlformats.org/officeDocument/2006/relationships" r:id="rId1">
    <sheetNames>
      <sheetName val="Summary-Power Gnrt"/>
      <sheetName val="Elcrt Load List-STP"/>
      <sheetName val="Gas Engine+Grid"/>
      <sheetName val="STP-Power Reqrmt"/>
      <sheetName val="Gas Engine-Power Cal"/>
      <sheetName val="Cover-1"/>
      <sheetName val="scope-w"/>
      <sheetName val="Design Basis"/>
      <sheetName val="process-design-cal"/>
      <sheetName val="Design Parameter"/>
      <sheetName val="Intake-RSS&amp;PH"/>
      <sheetName val="Pre-treatment"/>
      <sheetName val="Primary Clarifier"/>
      <sheetName val="1st Stage Biological"/>
      <sheetName val="D-c Clarifier"/>
      <sheetName val="Biofor-F"/>
      <sheetName val="Thickener"/>
      <sheetName val="Flotation"/>
      <sheetName val="Thickened Sludge Sump"/>
      <sheetName val="Digestion"/>
      <sheetName val="Digested Sludge Sump"/>
      <sheetName val="Dewatering"/>
      <sheetName val="Chlorination"/>
      <sheetName val="Treated Channel"/>
      <sheetName val="Mass Balance"/>
      <sheetName val="Civil Boq"/>
      <sheetName val="PS1"/>
      <sheetName val="Pile cap"/>
      <sheetName val="Boq"/>
      <sheetName val="sept-plan"/>
      <sheetName val="Desig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06.xml><?xml version="1.0" encoding="utf-8"?>
<externalLink xmlns="http://schemas.openxmlformats.org/spreadsheetml/2006/main">
  <externalBook xmlns:r="http://schemas.openxmlformats.org/officeDocument/2006/relationships" r:id="rId1">
    <sheetNames>
      <sheetName val="How to Input"/>
      <sheetName val="Input "/>
      <sheetName val="Design"/>
      <sheetName val="Sheet1"/>
      <sheetName val="Table"/>
      <sheetName val="LinkFlow"/>
      <sheetName val="DesignOutput"/>
      <sheetName val="PlanData"/>
      <sheetName val="Plans"/>
      <sheetName val="MH"/>
      <sheetName val="Pipes"/>
      <sheetName val="Sheet2"/>
      <sheetName val="wordsdata"/>
      <sheetName val="Loads"/>
      <sheetName val="Digestion"/>
      <sheetName val="PS1"/>
      <sheetName val="Civil Boq"/>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Set>
  </externalBook>
</externalLink>
</file>

<file path=xl/externalLinks/externalLink107.xml><?xml version="1.0" encoding="utf-8"?>
<externalLink xmlns="http://schemas.openxmlformats.org/spreadsheetml/2006/main">
  <externalBook xmlns:r="http://schemas.openxmlformats.org/officeDocument/2006/relationships" r:id="rId1">
    <sheetNames>
      <sheetName val="Abs_DPR"/>
      <sheetName val="Section 1_DPR"/>
      <sheetName val="Section 2_DPR"/>
      <sheetName val="Section 3_DPR"/>
      <sheetName val="Input "/>
      <sheetName val="Digestion"/>
      <sheetName val="Design"/>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sheeet7"/>
      <sheetName val="Codes"/>
      <sheetName val="환율"/>
      <sheetName val="calcul"/>
      <sheetName val="A_O_R_"/>
      <sheetName val="Intro"/>
      <sheetName val="Package-2"/>
      <sheetName val="Consum"/>
      <sheetName val="col-reinft1"/>
      <sheetName val="SOR"/>
      <sheetName val="upa"/>
      <sheetName val="Rate Analysis"/>
      <sheetName val="CASHFLOWS"/>
      <sheetName val="Code"/>
      <sheetName val="Invoice Annexure (2)"/>
      <sheetName val="SSN RA 05 Annexure"/>
      <sheetName val="RecoveredExternalLink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tart Here"/>
      <sheetName val="FCM"/>
      <sheetName val="Analysis Sheet"/>
      <sheetName val="Break Up as you wish"/>
      <sheetName val="Sheet1"/>
      <sheetName val="SP Break Up"/>
      <sheetName val="Grand Summary"/>
      <sheetName val="Material-Local-ABB"/>
      <sheetName val="Material-Local-Non ABB"/>
      <sheetName val="Material-Import-ABB"/>
      <sheetName val="Material-Import-Non ABB"/>
      <sheetName val="Services-ABB"/>
      <sheetName val="Services-Non ABB"/>
      <sheetName val="Financial"/>
      <sheetName val="Unit Sheet"/>
      <sheetName val="Cost summary"/>
      <sheetName val="Background"/>
      <sheetName val="labour"/>
      <sheetName val="BOQ"/>
      <sheetName val="BOQ LT"/>
      <sheetName val="Cable-data"/>
      <sheetName val="Labels"/>
      <sheetName val="final abstract"/>
      <sheetName val="FCM-hyd-airport-final"/>
      <sheetName val="starter"/>
      <sheetName val="GBW"/>
      <sheetName val="Costing"/>
      <sheetName val="Measurements"/>
      <sheetName val="Tables"/>
      <sheetName val="Flooring"/>
      <sheetName val="Ceilings"/>
      <sheetName val="ACAD Finishes"/>
      <sheetName val="Site Details"/>
      <sheetName val="Chair"/>
      <sheetName val="Site Area Statement"/>
      <sheetName val="Doors"/>
      <sheetName val="Estimate"/>
      <sheetName val="Config"/>
      <sheetName val="Break Dw"/>
      <sheetName val="C&amp;I SUMMARY"/>
      <sheetName val="bs BP 04 SA"/>
      <sheetName val="Full Cost Calculation-1"/>
      <sheetName val="Instruction-Description"/>
      <sheetName val="Gr. H"/>
      <sheetName val="Costing-blk-B"/>
      <sheetName val="Direct cost shed A-2 "/>
      <sheetName val="bill 2"/>
      <sheetName val="MN T.B."/>
      <sheetName val="CASHFLOWS"/>
      <sheetName val="Alstom_Soft seating_V R0_090216"/>
      <sheetName val="Formulas"/>
      <sheetName val="TBAL9697 -group wise  sdpl"/>
      <sheetName val="PLANT"/>
      <sheetName val="INSTRUMENT"/>
      <sheetName val="SpecITEM"/>
      <sheetName val="LINE_Sc"/>
      <sheetName val="MOTOR"/>
      <sheetName val="Design"/>
      <sheetName val="extra work elec bill "/>
      <sheetName val="Sqn_Abs"/>
      <sheetName val="CABLE DATA"/>
      <sheetName val="FTE Totals_Plan"/>
      <sheetName val="협조전"/>
      <sheetName val="선수금"/>
      <sheetName val="Riser-1"/>
      <sheetName val="3A-TiBill"/>
      <sheetName val="2A-tIS bILL"/>
      <sheetName val="Analy_7-10"/>
      <sheetName val="Annexure - T(3)"/>
      <sheetName val="DPR"/>
      <sheetName val="Coalmine"/>
      <sheetName val="A1-Continuous"/>
      <sheetName val="PANEL ANNEXURE"/>
      <sheetName val="BALANCE AJUSTADO 1999"/>
      <sheetName val="BHANDUP"/>
      <sheetName val="Sqn _Main_ Abs"/>
      <sheetName val="Codes"/>
      <sheetName val="Parameter"/>
      <sheetName val="S1BOQ"/>
      <sheetName val="BLOCK-E"/>
      <sheetName val="Intro"/>
      <sheetName val="Sheet3"/>
      <sheetName val="PRECAST lightconc-II"/>
      <sheetName val="Rate analysis"/>
      <sheetName val="MH Compensate-Nov"/>
      <sheetName val="Works - Quote Sheet"/>
      <sheetName val="calcul"/>
      <sheetName val="India F&amp;S Template"/>
      <sheetName val="Mat_Cost"/>
      <sheetName val="FitOutConfCentre"/>
      <sheetName val="train cash"/>
      <sheetName val="accom cash"/>
      <sheetName val="Summary"/>
      <sheetName val="SPEC SHEET"/>
      <sheetName val="COLUMN"/>
      <sheetName val="SPT vs PHI"/>
      <sheetName val="Core Data"/>
      <sheetName val="dlvoid"/>
      <sheetName val="Set"/>
      <sheetName val="Fee Rate Summary"/>
      <sheetName val="Headings"/>
      <sheetName val="INDIGINEOUS ITEMS "/>
      <sheetName val="INT Block Work"/>
      <sheetName val="MASTER_RATE ANALYSIS"/>
      <sheetName val="#REF"/>
      <sheetName val="B1"/>
      <sheetName val="Assumption Inputs"/>
      <sheetName val="1"/>
      <sheetName val="SP_Break_Up"/>
      <sheetName val="Start_Here"/>
      <sheetName val="Analysis_Sheet"/>
      <sheetName val="Break_Up_as_you_wish"/>
      <sheetName val="Grand_Summary"/>
      <sheetName val="Material-Local-Non_ABB"/>
      <sheetName val="Material-Import-Non_ABB"/>
      <sheetName val="Services-Non_ABB"/>
      <sheetName val="Unit_Sheet"/>
      <sheetName val="Cost_summary"/>
      <sheetName val="BOQ_LT"/>
      <sheetName val="Gr__H"/>
      <sheetName val="final_abstract"/>
      <sheetName val="Break_Dw"/>
      <sheetName val="Direct_cost_shed_A-2_"/>
      <sheetName val="bill_2"/>
      <sheetName val="MN_T_B_"/>
      <sheetName val="C&amp;I_SUMMARY"/>
      <sheetName val="ACAD_Finishes"/>
      <sheetName val="Site_Details"/>
      <sheetName val="Site_Area_Statement"/>
      <sheetName val="bs_BP_04_SA"/>
      <sheetName val="Full_Cost_Calculation-1"/>
      <sheetName val="Alstom_Soft_seating_V_R0_090216"/>
      <sheetName val="TBAL9697_-group_wise__sdpl"/>
      <sheetName val="extra_work_elec_bill_"/>
      <sheetName val="2A-tIS_bILL"/>
      <sheetName val="Annexure_-_T(3)"/>
      <sheetName val="PRECAST_lightconc-II"/>
      <sheetName val="Rate_analysis"/>
      <sheetName val="MH_Compensate-Nov"/>
      <sheetName val="Sqn__Main__Abs"/>
      <sheetName val="FTE_Totals_Plan"/>
      <sheetName val="CABLE_DATA"/>
      <sheetName val="Works_-_Quote_Sheet"/>
      <sheetName val="PANEL_ANNEXURE"/>
      <sheetName val="p&amp;m"/>
      <sheetName val="Assumptions-Input"/>
      <sheetName val="gen"/>
      <sheetName val="water prop."/>
      <sheetName val="Price BID"/>
      <sheetName val="Cash2"/>
      <sheetName val="WORK TABLE"/>
      <sheetName val="Hardware"/>
      <sheetName val="Quantity"/>
      <sheetName val="2.1 受電設備棟"/>
      <sheetName val="2.2 受・防火水槽"/>
      <sheetName val="2.3 排水処理設備棟"/>
      <sheetName val="2.4 倉庫棟"/>
      <sheetName val="2.5 守衛棟"/>
      <sheetName val="BLK2"/>
      <sheetName val="BLK3"/>
      <sheetName val="E &amp; R"/>
      <sheetName val="radar"/>
      <sheetName val="UG"/>
      <sheetName val="SP_Break_Up1"/>
      <sheetName val="Start_Here1"/>
      <sheetName val="Analysis_Sheet1"/>
      <sheetName val="Break_Up_as_you_wish1"/>
      <sheetName val="Grand_Summary1"/>
      <sheetName val="Material-Local-Non_ABB1"/>
      <sheetName val="Material-Import-Non_ABB1"/>
      <sheetName val="Services-Non_ABB1"/>
      <sheetName val="Unit_Sheet1"/>
      <sheetName val="Cost_summary1"/>
      <sheetName val="BOQ_LT1"/>
      <sheetName val="final_abstract1"/>
      <sheetName val="C&amp;I_SUMMARY1"/>
      <sheetName val="ACAD_Finishes1"/>
      <sheetName val="Site_Details1"/>
      <sheetName val="Site_Area_Statement1"/>
      <sheetName val="Break_Dw1"/>
      <sheetName val="Alstom_Soft_seating_V_R0_090211"/>
      <sheetName val="bs_BP_04_SA1"/>
      <sheetName val="Full_Cost_Calculation-11"/>
      <sheetName val="Direct_cost_shed_A-2_1"/>
      <sheetName val="bill_21"/>
      <sheetName val="MN_T_B_1"/>
      <sheetName val="Gr__H1"/>
      <sheetName val="extra_work_elec_bill_1"/>
      <sheetName val="2A-tIS_bILL1"/>
      <sheetName val="Annexure_-_T(3)1"/>
      <sheetName val="PRECAST_lightconc-II1"/>
      <sheetName val="Rate_analysis1"/>
      <sheetName val="TBAL9697_-group_wise__sdpl1"/>
      <sheetName val="Sqn__Main__Abs1"/>
      <sheetName val="FTE_Totals_Plan1"/>
      <sheetName val="CABLE_DATA1"/>
      <sheetName val="MH_Compensate-Nov1"/>
      <sheetName val="Works_-_Quote_Sheet1"/>
      <sheetName val="PANEL_ANNEXURE1"/>
      <sheetName val="SPEC_SHEET"/>
      <sheetName val="SPT_vs_PHI"/>
      <sheetName val="India_F&amp;S_Template"/>
      <sheetName val="train_cash"/>
      <sheetName val="accom_cash"/>
      <sheetName val="Core_Data"/>
      <sheetName val="Fee_Rate_Summary"/>
      <sheetName val="INDIGINEOUS_ITEMS_"/>
      <sheetName val="INT_Block_Work"/>
      <sheetName val="MASTER_RATE_ANALYSIS"/>
      <sheetName val="Assumption_Inputs"/>
      <sheetName val="water_prop_"/>
      <sheetName val="Price_BID"/>
      <sheetName val="2_1_受電設備棟"/>
      <sheetName val="2_2_受・防火水槽"/>
      <sheetName val="2_3_排水処理設備棟"/>
      <sheetName val="2_4_倉庫棟"/>
      <sheetName val="2_5_守衛棟"/>
      <sheetName val="Sheet2"/>
      <sheetName val="col-reinft1"/>
      <sheetName val="Pre-cast Qty"/>
      <sheetName val="Typical floor on 3BHK -STD"/>
      <sheetName val="FINCAL"/>
      <sheetName val="Concrete"/>
      <sheetName val="Materials Cost(PCC)"/>
      <sheetName val="Staff Acco."/>
      <sheetName val="Voucher"/>
      <sheetName val="Data"/>
      <sheetName val="Internet"/>
      <sheetName val="det_est"/>
      <sheetName val="Project Budget Worksheet"/>
      <sheetName val="RA"/>
      <sheetName val="Name List"/>
    </sheetNames>
    <sheetDataSet>
      <sheetData sheetId="0">
        <row r="6">
          <cell r="A6" t="str">
            <v>Type</v>
          </cell>
        </row>
      </sheetData>
      <sheetData sheetId="1">
        <row r="6">
          <cell r="A6" t="str">
            <v>Type</v>
          </cell>
        </row>
      </sheetData>
      <sheetData sheetId="2">
        <row r="6">
          <cell r="A6" t="str">
            <v>Type</v>
          </cell>
        </row>
      </sheetData>
      <sheetData sheetId="3">
        <row r="6">
          <cell r="A6" t="str">
            <v>Type</v>
          </cell>
        </row>
      </sheetData>
      <sheetData sheetId="4">
        <row r="6">
          <cell r="A6" t="str">
            <v>Type</v>
          </cell>
        </row>
      </sheetData>
      <sheetData sheetId="5" refreshError="1">
        <row r="6">
          <cell r="A6" t="str">
            <v>Type</v>
          </cell>
          <cell r="B6" t="str">
            <v>No.</v>
          </cell>
          <cell r="C6" t="str">
            <v>Item</v>
          </cell>
          <cell r="D6" t="str">
            <v>Sort</v>
          </cell>
          <cell r="E6" t="str">
            <v>Ex Works SP</v>
          </cell>
          <cell r="F6" t="str">
            <v>Ex.WSP+F&amp;I</v>
          </cell>
          <cell r="G6" t="str">
            <v>ED/CVD</v>
          </cell>
          <cell r="H6" t="str">
            <v>ST</v>
          </cell>
          <cell r="I6" t="str">
            <v>Total SP</v>
          </cell>
        </row>
        <row r="7">
          <cell r="A7" t="str">
            <v>ABB Manufactured</v>
          </cell>
          <cell r="B7">
            <v>1</v>
          </cell>
          <cell r="C7" t="str">
            <v>MV Breakers</v>
          </cell>
          <cell r="D7" t="str">
            <v>A</v>
          </cell>
          <cell r="E7">
            <v>39174179.640242562</v>
          </cell>
          <cell r="F7">
            <v>39790174.860242561</v>
          </cell>
          <cell r="G7">
            <v>6393226.1172875855</v>
          </cell>
          <cell r="H7">
            <v>1822696.230301206</v>
          </cell>
          <cell r="I7">
            <v>48006097.207831353</v>
          </cell>
        </row>
        <row r="8">
          <cell r="A8" t="str">
            <v>Indigenous Equipments</v>
          </cell>
          <cell r="B8">
            <v>2</v>
          </cell>
          <cell r="C8">
            <v>0</v>
          </cell>
          <cell r="D8">
            <v>0</v>
          </cell>
          <cell r="E8">
            <v>0</v>
          </cell>
          <cell r="F8">
            <v>0</v>
          </cell>
          <cell r="G8">
            <v>0</v>
          </cell>
          <cell r="H8">
            <v>0</v>
          </cell>
          <cell r="I8">
            <v>0</v>
          </cell>
        </row>
        <row r="9">
          <cell r="B9">
            <v>3</v>
          </cell>
          <cell r="C9">
            <v>0</v>
          </cell>
          <cell r="D9">
            <v>0</v>
          </cell>
          <cell r="E9">
            <v>0</v>
          </cell>
          <cell r="F9">
            <v>0</v>
          </cell>
          <cell r="G9">
            <v>0</v>
          </cell>
          <cell r="H9">
            <v>0</v>
          </cell>
          <cell r="I9">
            <v>0</v>
          </cell>
        </row>
        <row r="10">
          <cell r="B10">
            <v>4</v>
          </cell>
          <cell r="C10">
            <v>0</v>
          </cell>
          <cell r="D10">
            <v>0</v>
          </cell>
          <cell r="E10">
            <v>0</v>
          </cell>
          <cell r="F10">
            <v>0</v>
          </cell>
          <cell r="G10">
            <v>0</v>
          </cell>
          <cell r="H10">
            <v>0</v>
          </cell>
          <cell r="I10">
            <v>0</v>
          </cell>
        </row>
        <row r="11">
          <cell r="B11">
            <v>5</v>
          </cell>
          <cell r="C11">
            <v>0</v>
          </cell>
          <cell r="D11">
            <v>0</v>
          </cell>
          <cell r="E11">
            <v>0</v>
          </cell>
          <cell r="F11">
            <v>0</v>
          </cell>
          <cell r="G11">
            <v>0</v>
          </cell>
          <cell r="H11">
            <v>0</v>
          </cell>
          <cell r="I11">
            <v>0</v>
          </cell>
        </row>
        <row r="12">
          <cell r="B12">
            <v>6</v>
          </cell>
          <cell r="C12">
            <v>0</v>
          </cell>
          <cell r="D12">
            <v>0</v>
          </cell>
          <cell r="E12">
            <v>0</v>
          </cell>
          <cell r="F12">
            <v>0</v>
          </cell>
          <cell r="G12">
            <v>0</v>
          </cell>
          <cell r="H12">
            <v>0</v>
          </cell>
          <cell r="I12">
            <v>0</v>
          </cell>
        </row>
        <row r="13">
          <cell r="A13" t="str">
            <v>NON ABB Manufactured</v>
          </cell>
          <cell r="B13">
            <v>1</v>
          </cell>
          <cell r="C13" t="str">
            <v>Transformers</v>
          </cell>
          <cell r="D13" t="str">
            <v>B</v>
          </cell>
          <cell r="E13">
            <v>45598971.748524286</v>
          </cell>
          <cell r="F13">
            <v>46315993.748524286</v>
          </cell>
          <cell r="G13">
            <v>5850899.5200000005</v>
          </cell>
          <cell r="H13">
            <v>1668079.9808000003</v>
          </cell>
          <cell r="I13">
            <v>53834973.249324292</v>
          </cell>
        </row>
        <row r="14">
          <cell r="A14" t="str">
            <v>Indigenous Equipments</v>
          </cell>
          <cell r="B14">
            <v>2</v>
          </cell>
          <cell r="C14" t="str">
            <v>DG Sets</v>
          </cell>
          <cell r="D14" t="str">
            <v>C</v>
          </cell>
          <cell r="E14">
            <v>30511358.185810003</v>
          </cell>
          <cell r="F14">
            <v>30991134.685810003</v>
          </cell>
          <cell r="G14">
            <v>3914976.24</v>
          </cell>
          <cell r="H14">
            <v>1116152.0496</v>
          </cell>
          <cell r="I14">
            <v>36022262.975409999</v>
          </cell>
        </row>
        <row r="15">
          <cell r="B15">
            <v>3</v>
          </cell>
          <cell r="C15" t="str">
            <v>Cables</v>
          </cell>
          <cell r="D15" t="str">
            <v>D</v>
          </cell>
          <cell r="E15">
            <v>104138628.10246965</v>
          </cell>
          <cell r="F15">
            <v>105776158.17246965</v>
          </cell>
          <cell r="G15">
            <v>13362245.371200001</v>
          </cell>
          <cell r="H15">
            <v>3809549.9548479998</v>
          </cell>
          <cell r="I15">
            <v>122947953.49851765</v>
          </cell>
        </row>
        <row r="16">
          <cell r="B16">
            <v>4</v>
          </cell>
          <cell r="C16" t="str">
            <v>Cable termination</v>
          </cell>
          <cell r="D16" t="str">
            <v>E</v>
          </cell>
          <cell r="E16">
            <v>7679067.1792344647</v>
          </cell>
          <cell r="F16">
            <v>7799816.8342344649</v>
          </cell>
          <cell r="G16">
            <v>0</v>
          </cell>
          <cell r="H16">
            <v>241499.31</v>
          </cell>
          <cell r="I16">
            <v>8041316.1442344645</v>
          </cell>
        </row>
        <row r="17">
          <cell r="B17">
            <v>5</v>
          </cell>
          <cell r="C17" t="str">
            <v>Earthing materials</v>
          </cell>
          <cell r="D17" t="str">
            <v>F</v>
          </cell>
          <cell r="E17">
            <v>73190908.777698055</v>
          </cell>
          <cell r="F17">
            <v>74341800.777698055</v>
          </cell>
          <cell r="G17">
            <v>0</v>
          </cell>
          <cell r="H17">
            <v>2301784</v>
          </cell>
          <cell r="I17">
            <v>76643584.777698055</v>
          </cell>
        </row>
        <row r="18">
          <cell r="B18">
            <v>6</v>
          </cell>
          <cell r="C18" t="str">
            <v xml:space="preserve">Lighting </v>
          </cell>
          <cell r="D18" t="str">
            <v>G</v>
          </cell>
          <cell r="E18">
            <v>55584987.065339208</v>
          </cell>
          <cell r="F18">
            <v>56459034.37533921</v>
          </cell>
          <cell r="G18">
            <v>0</v>
          </cell>
          <cell r="H18">
            <v>1748094.62</v>
          </cell>
          <cell r="I18">
            <v>58207128.995339207</v>
          </cell>
        </row>
        <row r="19">
          <cell r="B19">
            <v>7</v>
          </cell>
          <cell r="C19" t="str">
            <v>LT Switch boards</v>
          </cell>
          <cell r="D19" t="str">
            <v>H</v>
          </cell>
          <cell r="E19">
            <v>59684106.459602401</v>
          </cell>
          <cell r="F19">
            <v>60622610.459602401</v>
          </cell>
          <cell r="G19">
            <v>7658192.6400000006</v>
          </cell>
          <cell r="H19">
            <v>2183335.7056</v>
          </cell>
          <cell r="I19">
            <v>70464138.805202395</v>
          </cell>
        </row>
        <row r="20">
          <cell r="B20">
            <v>8</v>
          </cell>
          <cell r="C20" t="str">
            <v>Miscellaneous</v>
          </cell>
          <cell r="D20" t="str">
            <v>I</v>
          </cell>
          <cell r="E20">
            <v>7070205.7168751257</v>
          </cell>
          <cell r="F20">
            <v>7181381.3168751253</v>
          </cell>
          <cell r="G20">
            <v>0</v>
          </cell>
          <cell r="H20">
            <v>142351.20000000001</v>
          </cell>
          <cell r="I20">
            <v>7323732.5168751255</v>
          </cell>
        </row>
        <row r="21">
          <cell r="B21">
            <v>9</v>
          </cell>
          <cell r="C21" t="str">
            <v>Cable trays &amp; Steel</v>
          </cell>
          <cell r="D21" t="str">
            <v>J</v>
          </cell>
          <cell r="E21">
            <v>71393906.531326175</v>
          </cell>
          <cell r="F21">
            <v>72516541.531326175</v>
          </cell>
          <cell r="G21">
            <v>6156516</v>
          </cell>
          <cell r="H21">
            <v>1755210.6400000001</v>
          </cell>
          <cell r="I21">
            <v>80428268.171326175</v>
          </cell>
        </row>
        <row r="22">
          <cell r="B22">
            <v>10</v>
          </cell>
          <cell r="C22" t="str">
            <v>Bus duct</v>
          </cell>
          <cell r="D22" t="str">
            <v>K</v>
          </cell>
          <cell r="E22">
            <v>3892010.3860267694</v>
          </cell>
          <cell r="F22">
            <v>3953210.3860267694</v>
          </cell>
          <cell r="G22">
            <v>499392.00000000006</v>
          </cell>
          <cell r="H22">
            <v>142375.67999999999</v>
          </cell>
          <cell r="I22">
            <v>4594978.0660267696</v>
          </cell>
        </row>
        <row r="23">
          <cell r="B23">
            <v>11</v>
          </cell>
          <cell r="C23" t="str">
            <v>Battery charger &amp; UPS</v>
          </cell>
          <cell r="D23" t="str">
            <v>L</v>
          </cell>
          <cell r="E23">
            <v>5596354.8034371845</v>
          </cell>
          <cell r="F23">
            <v>5684354.8034371845</v>
          </cell>
          <cell r="G23">
            <v>718080</v>
          </cell>
          <cell r="H23">
            <v>204723.20000000001</v>
          </cell>
          <cell r="I23">
            <v>6607158.0034371847</v>
          </cell>
        </row>
        <row r="24">
          <cell r="B24">
            <v>12</v>
          </cell>
          <cell r="C24" t="str">
            <v>Extra items</v>
          </cell>
          <cell r="D24" t="str">
            <v>O</v>
          </cell>
          <cell r="E24">
            <v>24166077.560296934</v>
          </cell>
          <cell r="F24">
            <v>24546077.560296934</v>
          </cell>
          <cell r="G24">
            <v>0</v>
          </cell>
          <cell r="H24">
            <v>0</v>
          </cell>
          <cell r="I24">
            <v>24546077.560296934</v>
          </cell>
        </row>
        <row r="25">
          <cell r="A25" t="str">
            <v>ABB Manufactured</v>
          </cell>
          <cell r="B25">
            <v>1</v>
          </cell>
          <cell r="C25">
            <v>0</v>
          </cell>
          <cell r="D25">
            <v>0</v>
          </cell>
          <cell r="E25">
            <v>0</v>
          </cell>
          <cell r="F25">
            <v>0</v>
          </cell>
          <cell r="G25">
            <v>0</v>
          </cell>
          <cell r="H25">
            <v>0</v>
          </cell>
          <cell r="I25">
            <v>0</v>
          </cell>
        </row>
        <row r="26">
          <cell r="A26" t="str">
            <v>Imported Equipments</v>
          </cell>
          <cell r="B26">
            <v>2</v>
          </cell>
          <cell r="C26">
            <v>0</v>
          </cell>
          <cell r="D26">
            <v>0</v>
          </cell>
          <cell r="E26">
            <v>0</v>
          </cell>
          <cell r="F26">
            <v>0</v>
          </cell>
          <cell r="G26">
            <v>0</v>
          </cell>
          <cell r="H26">
            <v>0</v>
          </cell>
          <cell r="I26">
            <v>0</v>
          </cell>
        </row>
        <row r="27">
          <cell r="A27" t="str">
            <v>NON ABB Manufactured</v>
          </cell>
          <cell r="B27">
            <v>1</v>
          </cell>
          <cell r="C27" t="str">
            <v>DG Sets</v>
          </cell>
          <cell r="D27" t="str">
            <v>C</v>
          </cell>
          <cell r="E27">
            <v>181964042.43143663</v>
          </cell>
          <cell r="F27">
            <v>184825339.88243663</v>
          </cell>
          <cell r="G27">
            <v>19904677.899999999</v>
          </cell>
          <cell r="H27">
            <v>0</v>
          </cell>
          <cell r="I27">
            <v>204730017.78243664</v>
          </cell>
        </row>
        <row r="28">
          <cell r="A28" t="str">
            <v>Imported Equipments</v>
          </cell>
          <cell r="B28">
            <v>2</v>
          </cell>
          <cell r="C28">
            <v>0</v>
          </cell>
          <cell r="D28">
            <v>0</v>
          </cell>
          <cell r="E28">
            <v>0</v>
          </cell>
          <cell r="F28">
            <v>0</v>
          </cell>
          <cell r="G28">
            <v>0</v>
          </cell>
          <cell r="H28">
            <v>0</v>
          </cell>
          <cell r="I28">
            <v>0</v>
          </cell>
        </row>
        <row r="29">
          <cell r="A29" t="str">
            <v>ABB Services</v>
          </cell>
          <cell r="B29">
            <v>1</v>
          </cell>
          <cell r="C29" t="str">
            <v>Design &amp; Engineering</v>
          </cell>
          <cell r="D29" t="str">
            <v>M</v>
          </cell>
          <cell r="E29">
            <v>20795545.690044992</v>
          </cell>
          <cell r="F29">
            <v>20795545.690044992</v>
          </cell>
          <cell r="G29">
            <v>2121145.6603845889</v>
          </cell>
          <cell r="H29">
            <v>0</v>
          </cell>
          <cell r="I29">
            <v>22916691.35042958</v>
          </cell>
        </row>
        <row r="30">
          <cell r="B30">
            <v>2</v>
          </cell>
          <cell r="C30" t="str">
            <v>Site Management</v>
          </cell>
          <cell r="D30" t="str">
            <v>N</v>
          </cell>
          <cell r="E30">
            <v>3930167.3505956591</v>
          </cell>
          <cell r="F30">
            <v>3930167.3505956591</v>
          </cell>
          <cell r="G30">
            <v>400877.06976075721</v>
          </cell>
          <cell r="H30">
            <v>0</v>
          </cell>
          <cell r="I30">
            <v>4331044.4203564161</v>
          </cell>
        </row>
        <row r="31">
          <cell r="B31">
            <v>3</v>
          </cell>
          <cell r="C31" t="str">
            <v>Salaries &amp; allowances</v>
          </cell>
          <cell r="D31" t="str">
            <v>N</v>
          </cell>
          <cell r="E31">
            <v>13431251.528249243</v>
          </cell>
          <cell r="F31">
            <v>13431251.528249243</v>
          </cell>
          <cell r="G31">
            <v>1369987.6558814228</v>
          </cell>
          <cell r="H31">
            <v>0</v>
          </cell>
          <cell r="I31">
            <v>14801239.184130667</v>
          </cell>
        </row>
        <row r="32">
          <cell r="B32">
            <v>4</v>
          </cell>
          <cell r="C32" t="str">
            <v>Site Instalation expenses</v>
          </cell>
          <cell r="D32" t="str">
            <v>N</v>
          </cell>
          <cell r="E32">
            <v>779038.02661483537</v>
          </cell>
          <cell r="F32">
            <v>779038.02661483537</v>
          </cell>
          <cell r="G32">
            <v>79461.87871471321</v>
          </cell>
          <cell r="H32">
            <v>0</v>
          </cell>
          <cell r="I32">
            <v>858499.90532954852</v>
          </cell>
        </row>
        <row r="33">
          <cell r="B33">
            <v>5</v>
          </cell>
          <cell r="C33">
            <v>0</v>
          </cell>
          <cell r="D33" t="str">
            <v>N</v>
          </cell>
          <cell r="E33">
            <v>0</v>
          </cell>
          <cell r="F33">
            <v>0</v>
          </cell>
          <cell r="G33">
            <v>0</v>
          </cell>
          <cell r="H33">
            <v>0</v>
          </cell>
          <cell r="I33">
            <v>0</v>
          </cell>
        </row>
        <row r="34">
          <cell r="B34">
            <v>6</v>
          </cell>
          <cell r="C34">
            <v>0</v>
          </cell>
          <cell r="D34">
            <v>0</v>
          </cell>
          <cell r="E34">
            <v>0</v>
          </cell>
          <cell r="F34">
            <v>0</v>
          </cell>
          <cell r="G34">
            <v>0</v>
          </cell>
          <cell r="H34">
            <v>0</v>
          </cell>
          <cell r="I34">
            <v>0</v>
          </cell>
        </row>
        <row r="35">
          <cell r="B35">
            <v>7</v>
          </cell>
          <cell r="C35" t="str">
            <v>Comprehensive Insurance</v>
          </cell>
          <cell r="D35" t="str">
            <v>N</v>
          </cell>
          <cell r="E35">
            <v>9157671.4965335745</v>
          </cell>
          <cell r="F35">
            <v>9157671.4965335745</v>
          </cell>
          <cell r="G35">
            <v>0</v>
          </cell>
          <cell r="H35">
            <v>0</v>
          </cell>
          <cell r="I35">
            <v>9157671.4965335745</v>
          </cell>
        </row>
        <row r="36">
          <cell r="A36" t="str">
            <v>NON ABB SERVICES</v>
          </cell>
          <cell r="B36">
            <v>1</v>
          </cell>
          <cell r="C36" t="str">
            <v>Erection testing &amp; commissioning</v>
          </cell>
          <cell r="D36" t="str">
            <v>N</v>
          </cell>
          <cell r="E36">
            <v>43060032.764086731</v>
          </cell>
          <cell r="F36">
            <v>43060032.764086731</v>
          </cell>
          <cell r="G36">
            <v>4392123.3419368463</v>
          </cell>
          <cell r="H36">
            <v>0</v>
          </cell>
          <cell r="I36">
            <v>47452156.10602358</v>
          </cell>
        </row>
        <row r="37">
          <cell r="B37">
            <v>2</v>
          </cell>
          <cell r="C37">
            <v>0</v>
          </cell>
          <cell r="D37">
            <v>0</v>
          </cell>
          <cell r="E37">
            <v>0</v>
          </cell>
          <cell r="F37">
            <v>0</v>
          </cell>
          <cell r="G37">
            <v>0</v>
          </cell>
          <cell r="H37">
            <v>0</v>
          </cell>
          <cell r="I37">
            <v>0</v>
          </cell>
        </row>
        <row r="38">
          <cell r="B38">
            <v>3</v>
          </cell>
          <cell r="C38">
            <v>0</v>
          </cell>
          <cell r="D38">
            <v>0</v>
          </cell>
          <cell r="E38">
            <v>0</v>
          </cell>
          <cell r="F38">
            <v>0</v>
          </cell>
          <cell r="G38">
            <v>0</v>
          </cell>
          <cell r="H38">
            <v>0</v>
          </cell>
          <cell r="I38">
            <v>0</v>
          </cell>
        </row>
        <row r="39">
          <cell r="C39" t="str">
            <v xml:space="preserve">TOTAL </v>
          </cell>
          <cell r="D39">
            <v>0</v>
          </cell>
          <cell r="E39">
            <v>800798511.44444454</v>
          </cell>
          <cell r="F39">
            <v>811957336.25044453</v>
          </cell>
          <cell r="G39">
            <v>72821801.395165905</v>
          </cell>
          <cell r="H39">
            <v>17135852.571149204</v>
          </cell>
          <cell r="I39">
            <v>901914990.21675956</v>
          </cell>
        </row>
      </sheetData>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row r="6">
          <cell r="A6" t="str">
            <v>Type</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ow r="6">
          <cell r="A6" t="str">
            <v>Type</v>
          </cell>
        </row>
      </sheetData>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oncrete"/>
      <sheetName val="Shuttering"/>
      <sheetName val="foot-slab reinft"/>
      <sheetName val="beam-reinft-IIInd floor"/>
      <sheetName val="III floor beam addl"/>
      <sheetName val="beam-reinft-mezzanine floor"/>
      <sheetName val="Indices-final"/>
      <sheetName val="foot_slab reinft"/>
      <sheetName val="COLUMN"/>
      <sheetName val="office"/>
      <sheetName val="Lab"/>
      <sheetName val="Material&amp;equipment"/>
      <sheetName val="col-reinft1"/>
      <sheetName val="Coversheet"/>
      <sheetName val="00001-00200"/>
      <sheetName val="00201-00300"/>
      <sheetName val="00301-00400"/>
      <sheetName val="00401-00900"/>
      <sheetName val="00901-01400"/>
      <sheetName val="01401-01500"/>
      <sheetName val="01501-02000"/>
      <sheetName val="02001-xxxxx"/>
      <sheetName val="Civil Boq"/>
      <sheetName val="Civil_Boq"/>
      <sheetName val="Name Lists"/>
      <sheetName val="Boq"/>
      <sheetName val="A.O.R."/>
      <sheetName val="beam-reinft"/>
      <sheetName val="col-reinft"/>
      <sheetName val="Indices"/>
      <sheetName val="Indices-External"/>
      <sheetName val="Indices-unconf"/>
      <sheetName val="Indices-combined"/>
      <sheetName val="Key-notes"/>
      <sheetName val="beam_reinft"/>
      <sheetName val="conc-foot-gradeslab"/>
      <sheetName val="NetBQ"/>
      <sheetName val="CFForecast detail"/>
      <sheetName val="F1a-Pile"/>
      <sheetName val="TBAL9697 -group wise  sdpl"/>
      <sheetName val="Sheet1"/>
      <sheetName val="dBase"/>
      <sheetName val="재1"/>
      <sheetName val="GBW"/>
      <sheetName val="PROG_DATA"/>
      <sheetName val="PRECAST lightconc-II"/>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GOLF BVM"/>
      <sheetName val="GOLF"/>
      <sheetName val="starter "/>
      <sheetName val="Price "/>
      <sheetName val="costing"/>
      <sheetName val="moc"/>
    </sheetNames>
    <sheetDataSet>
      <sheetData sheetId="0"/>
      <sheetData sheetId="1"/>
      <sheetData sheetId="2"/>
      <sheetData sheetId="3"/>
      <sheetData sheetId="4"/>
      <sheetData sheetId="5"/>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oncrete"/>
      <sheetName val="Shuttering"/>
      <sheetName val="slab-reinft"/>
      <sheetName val="beam-reinft-machine rm"/>
      <sheetName val="Indices-final"/>
      <sheetName val="beam_reinft_machine rm"/>
      <sheetName val="upa"/>
      <sheetName val="foot-slab reinft"/>
      <sheetName val="beam-reinft-IIInd floor"/>
      <sheetName val="Break_Up"/>
      <sheetName val="conc-foot-gradeslab"/>
      <sheetName val="conc-lift-shear-retwall"/>
      <sheetName val="shuttering-footing"/>
      <sheetName val="shutter-lift-shear-retwall"/>
      <sheetName val="Chart1"/>
      <sheetName val="Indices"/>
      <sheetName val="Timesheet"/>
      <sheetName val="TBAL9697 -group wise  sdpl"/>
      <sheetName val="beam-reinft"/>
      <sheetName val="gen"/>
      <sheetName val="Conc"/>
      <sheetName val="预算"/>
      <sheetName val="CFForecast detail"/>
      <sheetName val="電気設備表"/>
      <sheetName val="Headings"/>
      <sheetName val="Vehicles"/>
      <sheetName val="#REF"/>
      <sheetName val="Codes"/>
      <sheetName val="analysis"/>
      <sheetName val="LP"/>
      <sheetName val="labour rates"/>
      <sheetName val="Masonry"/>
      <sheetName val="월선수금"/>
      <sheetName val="Boiler&amp;TG"/>
      <sheetName val="labour coeff"/>
      <sheetName val="final abstract"/>
      <sheetName val="Material "/>
      <sheetName val="Labour &amp; Plant"/>
      <sheetName val="Wordsdata"/>
      <sheetName val="item"/>
      <sheetName val="col-reinft1"/>
      <sheetName val="Cal"/>
      <sheetName val="Data"/>
      <sheetName val="Voucher"/>
      <sheetName val="Rate Analysis"/>
      <sheetName val="PROG_DATA"/>
      <sheetName val="Boq"/>
      <sheetName val="Basic Rates"/>
      <sheetName val="Sump_cal"/>
      <sheetName val="Diamond "/>
      <sheetName val="Substation"/>
      <sheetName val="foot-slab_reinft"/>
      <sheetName val="TBAL9697_-group_wise__sdpl"/>
      <sheetName val="Diamond_"/>
      <sheetName val="CFForecast_detail"/>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COLUMN"/>
      <sheetName val="STEEL-SLAB (0)"/>
      <sheetName val="concrete-1flr"/>
      <sheetName val="SHUTTER-1flr beam (1)"/>
      <sheetName val="SHUTTER-1flr slab(1)"/>
      <sheetName val="STEEL-SLAB (1flr)"/>
      <sheetName val="slab-reinft(1flr)-REF."/>
      <sheetName val="BEAM-REINFT.(1flr)"/>
      <sheetName val="beam-reinft-(1flr)ADDT."/>
      <sheetName val="concrete-Ist-IInd floor"/>
      <sheetName val="shuttering-1st-IInd floor"/>
      <sheetName val="STEEL-SLAB (2flr)"/>
      <sheetName val="slab-reinft(2flr)-REF. (2)"/>
      <sheetName val="BEAM-REINFT.(2flr) (2)"/>
      <sheetName val="beam-reinft-(2flr)ADDT. (2)"/>
      <sheetName val="slab-reinft(MEZZ)"/>
      <sheetName val="STEEL-SLAB (3flr) "/>
      <sheetName val="Slab-reinft(3flr)ADD."/>
      <sheetName val="slab-reinft(3flr)-ADD. (1)"/>
      <sheetName val="STEEL-SLAB (4th-flr) "/>
      <sheetName val="slab-reinft(4thflr)-ADD. (2)"/>
      <sheetName val="slab reinft.-(4th flr)"/>
      <sheetName val="ALL-Indices-final"/>
      <sheetName val="Indices (3rd)"/>
      <sheetName val="Indices"/>
      <sheetName val="SHUTTER-1flr beam(old)"/>
      <sheetName val="03_CTS,MEPZ-CANTEEN"/>
      <sheetName val="Flooring"/>
      <sheetName val="Skirting"/>
      <sheetName val="Dado"/>
      <sheetName val="03_CTS,MEPZ-CANTEEN (2)"/>
      <sheetName val="#REF"/>
      <sheetName val="Sheet1"/>
      <sheetName val="beam-reinft-machine rm"/>
      <sheetName val="col-reinft1"/>
      <sheetName val="RECAPITULATION"/>
      <sheetName val="Internet"/>
      <sheetName val="concrete"/>
      <sheetName val="foot-slab reinft"/>
      <sheetName val="Loads"/>
      <sheetName val="Trail"/>
      <sheetName val="Frame"/>
      <sheetName val="FINAL"/>
      <sheetName val="frame-2"/>
      <sheetName val="Sheet3"/>
      <sheetName val="IO LIST"/>
      <sheetName val="Publicbuilding"/>
      <sheetName val="TBAL9697 -group wise  sdpl"/>
      <sheetName val="FORM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Factor"/>
      <sheetName val="BOQ LT"/>
      <sheetName val="BOQ HT "/>
    </sheetNames>
    <sheetDataSet>
      <sheetData sheetId="0"/>
      <sheetData sheetId="1"/>
      <sheetData sheetId="2"/>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concrete"/>
      <sheetName val="Shuttering"/>
      <sheetName val="beam-reinft-IIInd floor"/>
      <sheetName val="III floor beam addl"/>
      <sheetName val="beam-reinft-mezzanine floor"/>
      <sheetName val="Indices-final"/>
      <sheetName val="Shuttering (2)"/>
      <sheetName val="beam-reinft-IIInd floor (2)"/>
      <sheetName val="III floor beam addl (2)"/>
      <sheetName val="beam-reinft-mezzanine floor (2)"/>
      <sheetName val="Indices-final (2)"/>
      <sheetName val="beam_reinft_IIInd floor"/>
      <sheetName val="foot-slab reinft"/>
      <sheetName val="estimate"/>
      <sheetName val="COLUMN"/>
      <sheetName val="Zone-1"/>
      <sheetName val="Zone-2"/>
      <sheetName val="Zone-3"/>
      <sheetName val="Zone-3 (alt)"/>
      <sheetName val="Abstract"/>
      <sheetName val="PS1"/>
      <sheetName val="Sheet1"/>
      <sheetName val="Loads"/>
      <sheetName val="IO LIST"/>
      <sheetName val="Indices"/>
      <sheetName val="DetEst"/>
      <sheetName val="labour"/>
      <sheetName val="Boq"/>
      <sheetName val="Publicbuilding"/>
      <sheetName val="LOCAL RATES"/>
      <sheetName val="Material"/>
      <sheetName val="Plant &amp;  Machinery"/>
      <sheetName val="Civil Boq"/>
      <sheetName val="Output"/>
      <sheetName val="Cash Flow Working"/>
      <sheetName val="FORM7"/>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al (2)"/>
      <sheetName val="Sheet2"/>
      <sheetName val="Sheet1"/>
      <sheetName val="Data"/>
      <sheetName val="Voucher"/>
      <sheetName val="Cal"/>
      <sheetName val="concrete"/>
      <sheetName val="beam-reinft-IIInd floor"/>
      <sheetName val="COLUMN"/>
      <sheetName val="STEEL-SLAB1)"/>
      <sheetName val="column-part"/>
      <sheetName val="Indices"/>
      <sheetName val="conc-foot-gradeslab"/>
      <sheetName val="Boq"/>
      <sheetName val="STAFFSCHED "/>
      <sheetName val="Loads"/>
      <sheetName val="SPT vs PHI"/>
      <sheetName val="PS1"/>
      <sheetName val="TBAL9697 -group wise  sdpl"/>
      <sheetName val="Project Budget Worksheet"/>
      <sheetName val="ETC Plant Cost"/>
      <sheetName val="E1"/>
      <sheetName val="Rate Analysis"/>
      <sheetName val="Boq - Flats"/>
      <sheetName val="Variables_x"/>
      <sheetName val="RECAPITULATION"/>
      <sheetName val="PC Master List"/>
      <sheetName val="Aseet1998"/>
      <sheetName val="Sheet1 (2)"/>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p&amp;m"/>
      <sheetName val="Sheet4"/>
      <sheetName val="rate anal"/>
      <sheetName val="Top Sheet"/>
      <sheetName val="Batch"/>
      <sheetName val="Sheet2"/>
      <sheetName val="Sheet3"/>
      <sheetName val="Bill No 2 to 8 (Rev)"/>
      <sheetName val="COLUMN"/>
      <sheetName val="concrete"/>
      <sheetName val="Shuttering"/>
      <sheetName val="slab-reinft"/>
      <sheetName val="beam-reinft-machine rm"/>
      <sheetName val="Indices-final"/>
      <sheetName val="beam_reinft_machine rm"/>
      <sheetName val="upa"/>
      <sheetName val="foot-slab reinft"/>
      <sheetName val="beam-reinft-IIInd floor"/>
      <sheetName val="col-reinft1"/>
      <sheetName val="R20_R30_work"/>
      <sheetName val="Materials Cost(PCC)"/>
      <sheetName val="beam-reinft-machine_rm"/>
      <sheetName val="beam_reinft_machine_rm"/>
      <sheetName val="foot-slab_reinft"/>
      <sheetName val="beam-reinft-IIInd_floor"/>
      <sheetName val="Materials_Cost(PCC)"/>
      <sheetName val="beam-reinft-machine_rm1"/>
      <sheetName val="beam_reinft_machine_rm1"/>
      <sheetName val="foot-slab_reinft1"/>
      <sheetName val="beam-reinft-IIInd_floor1"/>
      <sheetName val="Materials_Cost(PCC)1"/>
      <sheetName val="beam-reinft-machine_rm2"/>
      <sheetName val="beam_reinft_machine_rm2"/>
      <sheetName val="foot-slab_reinft2"/>
      <sheetName val="beam-reinft-IIInd_floor2"/>
      <sheetName val="Materials_Cost(PCC)2"/>
      <sheetName val="beam-reinft-machine_rm9"/>
      <sheetName val="beam_reinft_machine_rm9"/>
      <sheetName val="foot-slab_reinft9"/>
      <sheetName val="beam-reinft-IIInd_floor9"/>
      <sheetName val="Materials_Cost(PCC)8"/>
      <sheetName val="beam-reinft-machine_rm3"/>
      <sheetName val="beam_reinft_machine_rm3"/>
      <sheetName val="foot-slab_reinft3"/>
      <sheetName val="beam-reinft-IIInd_floor3"/>
      <sheetName val="Materials_Cost(PCC)3"/>
      <sheetName val="beam-reinft-machine_rm4"/>
      <sheetName val="beam_reinft_machine_rm4"/>
      <sheetName val="foot-slab_reinft4"/>
      <sheetName val="beam-reinft-IIInd_floor4"/>
      <sheetName val="Materials_Cost(PCC)4"/>
      <sheetName val="beam-reinft-machine_rm5"/>
      <sheetName val="beam_reinft_machine_rm5"/>
      <sheetName val="foot-slab_reinft5"/>
      <sheetName val="beam-reinft-IIInd_floor5"/>
      <sheetName val="Materials_Cost(PCC)5"/>
      <sheetName val="beam-reinft-machine_rm6"/>
      <sheetName val="beam_reinft_machine_rm6"/>
      <sheetName val="foot-slab_reinft6"/>
      <sheetName val="beam-reinft-IIInd_floor6"/>
      <sheetName val="Materials_Cost(PCC)6"/>
      <sheetName val="beam-reinft-machine_rm7"/>
      <sheetName val="beam_reinft_machine_rm7"/>
      <sheetName val="foot-slab_reinft7"/>
      <sheetName val="beam-reinft-IIInd_floor7"/>
      <sheetName val="Materials_Cost(PCC)7"/>
      <sheetName val="beam-reinft-machine_rm8"/>
      <sheetName val="beam_reinft_machine_rm8"/>
      <sheetName val="foot-slab_reinft8"/>
      <sheetName val="beam-reinft-IIInd_floor8"/>
      <sheetName val="beam-reinft-machine_rm10"/>
      <sheetName val="beam_reinft_machine_rm10"/>
      <sheetName val="foot-slab_reinft10"/>
      <sheetName val="beam-reinft-IIInd_floor10"/>
      <sheetName val="Materials_Cost(PCC)9"/>
      <sheetName val="beam-reinft-machine_rm11"/>
      <sheetName val="beam_reinft_machine_rm11"/>
      <sheetName val="foot-slab_reinft11"/>
      <sheetName val="beam-reinft-IIInd_floor11"/>
      <sheetName val="Materials_Cost(PCC)10"/>
      <sheetName val="beam-reinft-machine_rm12"/>
      <sheetName val="beam_reinft_machine_rm12"/>
      <sheetName val="foot-slab_reinft12"/>
      <sheetName val="beam-reinft-IIInd_floor12"/>
      <sheetName val="Materials_Cost(PCC)11"/>
      <sheetName val="beam-reinft-machine_rm13"/>
      <sheetName val="beam_reinft_machine_rm13"/>
      <sheetName val="foot-slab_reinft13"/>
      <sheetName val="beam-reinft-IIInd_floor13"/>
      <sheetName val="Materials_Cost(PCC)12"/>
      <sheetName val="beam-reinft-machine_rm14"/>
      <sheetName val="beam_reinft_machine_rm14"/>
      <sheetName val="foot-slab_reinft14"/>
      <sheetName val="beam-reinft-IIInd_floor14"/>
      <sheetName val="Materials_Cost(PCC)13"/>
      <sheetName val="beam-reinft-machine_rm15"/>
      <sheetName val="beam_reinft_machine_rm15"/>
      <sheetName val="foot-slab_reinft15"/>
      <sheetName val="beam-reinft-IIInd_floor15"/>
      <sheetName val="Materials_Cost(PCC)14"/>
      <sheetName val="beam-reinft-machine_rm16"/>
      <sheetName val="beam_reinft_machine_rm16"/>
      <sheetName val="foot-slab_reinft16"/>
      <sheetName val="beam-reinft-IIInd_floor16"/>
      <sheetName val="Materials_Cost(PCC)15"/>
      <sheetName val="beam-reinft-machine_rm19"/>
      <sheetName val="beam_reinft_machine_rm19"/>
      <sheetName val="foot-slab_reinft19"/>
      <sheetName val="beam-reinft-IIInd_floor19"/>
      <sheetName val="Materials_Cost(PCC)18"/>
      <sheetName val="beam-reinft-machine_rm17"/>
      <sheetName val="beam_reinft_machine_rm17"/>
      <sheetName val="foot-slab_reinft17"/>
      <sheetName val="beam-reinft-IIInd_floor17"/>
      <sheetName val="Materials_Cost(PCC)16"/>
      <sheetName val="beam-reinft-machine_rm18"/>
      <sheetName val="beam_reinft_machine_rm18"/>
      <sheetName val="foot-slab_reinft18"/>
      <sheetName val="beam-reinft-IIInd_floor18"/>
      <sheetName val="Materials_Cost(PCC)17"/>
      <sheetName val="beam-reinft-machine_rm20"/>
      <sheetName val="beam_reinft_machine_rm20"/>
      <sheetName val="foot-slab_reinft20"/>
      <sheetName val="beam-reinft-IIInd_floor20"/>
      <sheetName val="Materials_Cost(PCC)19"/>
      <sheetName val="beam-reinft-machine_rm23"/>
      <sheetName val="beam_reinft_machine_rm23"/>
      <sheetName val="foot-slab_reinft23"/>
      <sheetName val="beam-reinft-IIInd_floor23"/>
      <sheetName val="Materials_Cost(PCC)22"/>
      <sheetName val="beam-reinft-machine_rm22"/>
      <sheetName val="beam_reinft_machine_rm22"/>
      <sheetName val="foot-slab_reinft22"/>
      <sheetName val="beam-reinft-IIInd_floor22"/>
      <sheetName val="Materials_Cost(PCC)21"/>
      <sheetName val="beam-reinft-machine_rm21"/>
      <sheetName val="beam_reinft_machine_rm21"/>
      <sheetName val="foot-slab_reinft21"/>
      <sheetName val="beam-reinft-IIInd_floor21"/>
      <sheetName val="Materials_Cost(PCC)20"/>
      <sheetName val="beam-reinft-machine_rm24"/>
      <sheetName val="beam_reinft_machine_rm24"/>
      <sheetName val="foot-slab_reinft24"/>
      <sheetName val="beam-reinft-IIInd_floor24"/>
      <sheetName val="Materials_Cost(PCC)23"/>
      <sheetName val="beam-reinft-machine_rm30"/>
      <sheetName val="beam_reinft_machine_rm30"/>
      <sheetName val="foot-slab_reinft30"/>
      <sheetName val="beam-reinft-IIInd_floor30"/>
      <sheetName val="Materials_Cost(PCC)29"/>
      <sheetName val="beam-reinft-machine_rm25"/>
      <sheetName val="beam_reinft_machine_rm25"/>
      <sheetName val="foot-slab_reinft25"/>
      <sheetName val="beam-reinft-IIInd_floor25"/>
      <sheetName val="Materials_Cost(PCC)24"/>
      <sheetName val="beam-reinft-machine_rm29"/>
      <sheetName val="beam_reinft_machine_rm29"/>
      <sheetName val="foot-slab_reinft29"/>
      <sheetName val="beam-reinft-IIInd_floor29"/>
      <sheetName val="Materials_Cost(PCC)28"/>
      <sheetName val="beam-reinft-machine_rm26"/>
      <sheetName val="beam_reinft_machine_rm26"/>
      <sheetName val="foot-slab_reinft26"/>
      <sheetName val="beam-reinft-IIInd_floor26"/>
      <sheetName val="Materials_Cost(PCC)25"/>
      <sheetName val="beam-reinft-machine_rm27"/>
      <sheetName val="beam_reinft_machine_rm27"/>
      <sheetName val="foot-slab_reinft27"/>
      <sheetName val="beam-reinft-IIInd_floor27"/>
      <sheetName val="Materials_Cost(PCC)26"/>
      <sheetName val="beam-reinft-machine_rm28"/>
      <sheetName val="beam_reinft_machine_rm28"/>
      <sheetName val="foot-slab_reinft28"/>
      <sheetName val="beam-reinft-IIInd_floor28"/>
      <sheetName val="Materials_Cost(PCC)27"/>
      <sheetName val="beam-reinft-machine_rm31"/>
      <sheetName val="beam_reinft_machine_rm31"/>
      <sheetName val="foot-slab_reinft31"/>
      <sheetName val="beam-reinft-IIInd_floor31"/>
      <sheetName val="Materials_Cost(PCC)30"/>
      <sheetName val="beam-reinft-machine_rm32"/>
      <sheetName val="beam_reinft_machine_rm32"/>
      <sheetName val="foot-slab_reinft32"/>
      <sheetName val="beam-reinft-IIInd_floor32"/>
      <sheetName val="Materials_Cost(PCC)31"/>
      <sheetName val="beam-reinft-machine_rm33"/>
      <sheetName val="beam_reinft_machine_rm33"/>
      <sheetName val="foot-slab_reinft33"/>
      <sheetName val="beam-reinft-IIInd_floor33"/>
      <sheetName val="Materials_Cost(PCC)32"/>
      <sheetName val="beam-reinft-machine_rm38"/>
      <sheetName val="beam_reinft_machine_rm38"/>
      <sheetName val="foot-slab_reinft38"/>
      <sheetName val="beam-reinft-IIInd_floor38"/>
      <sheetName val="Materials_Cost(PCC)37"/>
      <sheetName val="beam-reinft-machine_rm34"/>
      <sheetName val="beam_reinft_machine_rm34"/>
      <sheetName val="foot-slab_reinft34"/>
      <sheetName val="beam-reinft-IIInd_floor34"/>
      <sheetName val="Materials_Cost(PCC)33"/>
      <sheetName val="beam-reinft-machine_rm36"/>
      <sheetName val="beam_reinft_machine_rm36"/>
      <sheetName val="foot-slab_reinft36"/>
      <sheetName val="beam-reinft-IIInd_floor36"/>
      <sheetName val="Materials_Cost(PCC)35"/>
      <sheetName val="beam-reinft-machine_rm35"/>
      <sheetName val="beam_reinft_machine_rm35"/>
      <sheetName val="foot-slab_reinft35"/>
      <sheetName val="beam-reinft-IIInd_floor35"/>
      <sheetName val="Materials_Cost(PCC)34"/>
      <sheetName val="beam-reinft-machine_rm37"/>
      <sheetName val="beam_reinft_machine_rm37"/>
      <sheetName val="foot-slab_reinft37"/>
      <sheetName val="beam-reinft-IIInd_floor37"/>
      <sheetName val="Materials_Cost(PCC)36"/>
      <sheetName val="beam-reinft-machine_rm39"/>
      <sheetName val="beam_reinft_machine_rm39"/>
      <sheetName val="foot-slab_reinft39"/>
      <sheetName val="beam-reinft-IIInd_floor39"/>
      <sheetName val="Materials_Cost(PCC)38"/>
      <sheetName val="beam-reinft-machine_rm40"/>
      <sheetName val="beam_reinft_machine_rm40"/>
      <sheetName val="foot-slab_reinft40"/>
      <sheetName val="beam-reinft-IIInd_floor40"/>
      <sheetName val="Materials_Cost(PCC)39"/>
      <sheetName val="beam-reinft-machine_rm41"/>
      <sheetName val="beam_reinft_machine_rm41"/>
      <sheetName val="foot-slab_reinft41"/>
      <sheetName val="beam-reinft-IIInd_floor41"/>
      <sheetName val="Materials_Cost(PCC)40"/>
      <sheetName val="beam-reinft-machine_rm42"/>
      <sheetName val="beam_reinft_machine_rm42"/>
      <sheetName val="foot-slab_reinft42"/>
      <sheetName val="beam-reinft-IIInd_floor42"/>
      <sheetName val="Materials_Cost(PCC)41"/>
      <sheetName val="beam-reinft-machine_rm43"/>
      <sheetName val="beam_reinft_machine_rm43"/>
      <sheetName val="foot-slab_reinft43"/>
      <sheetName val="beam-reinft-IIInd_floor43"/>
      <sheetName val="Materials_Cost(PCC)42"/>
      <sheetName val="beam-reinft-machine_rm44"/>
      <sheetName val="beam_reinft_machine_rm44"/>
      <sheetName val="foot-slab_reinft44"/>
      <sheetName val="beam-reinft-IIInd_floor44"/>
      <sheetName val="Materials_Cost(PCC)43"/>
      <sheetName val="beam-reinft-machine_rm47"/>
      <sheetName val="beam_reinft_machine_rm47"/>
      <sheetName val="foot-slab_reinft47"/>
      <sheetName val="beam-reinft-IIInd_floor47"/>
      <sheetName val="Materials_Cost(PCC)46"/>
      <sheetName val="beam-reinft-machine_rm46"/>
      <sheetName val="beam_reinft_machine_rm46"/>
      <sheetName val="foot-slab_reinft46"/>
      <sheetName val="beam-reinft-IIInd_floor46"/>
      <sheetName val="Materials_Cost(PCC)45"/>
      <sheetName val="beam-reinft-machine_rm45"/>
      <sheetName val="beam_reinft_machine_rm45"/>
      <sheetName val="foot-slab_reinft45"/>
      <sheetName val="beam-reinft-IIInd_floor45"/>
      <sheetName val="Materials_Cost(PCC)44"/>
      <sheetName val="beam-reinft-machine_rm48"/>
      <sheetName val="beam_reinft_machine_rm48"/>
      <sheetName val="foot-slab_reinft48"/>
      <sheetName val="beam-reinft-IIInd_floor48"/>
      <sheetName val="Materials_Cost(PCC)47"/>
      <sheetName val="beam-reinft-machine_rm49"/>
      <sheetName val="beam_reinft_machine_rm49"/>
      <sheetName val="foot-slab_reinft49"/>
      <sheetName val="beam-reinft-IIInd_floor49"/>
      <sheetName val="Materials_Cost(PCC)48"/>
      <sheetName val="beam-reinft-machine_rm51"/>
      <sheetName val="beam_reinft_machine_rm51"/>
      <sheetName val="foot-slab_reinft51"/>
      <sheetName val="beam-reinft-IIInd_floor51"/>
      <sheetName val="Materials_Cost(PCC)50"/>
      <sheetName val="beam-reinft-machine_rm50"/>
      <sheetName val="beam_reinft_machine_rm50"/>
      <sheetName val="foot-slab_reinft50"/>
      <sheetName val="beam-reinft-IIInd_floor50"/>
      <sheetName val="Materials_Cost(PCC)49"/>
      <sheetName val="beam-reinft-machine_rm54"/>
      <sheetName val="beam_reinft_machine_rm54"/>
      <sheetName val="foot-slab_reinft54"/>
      <sheetName val="beam-reinft-IIInd_floor54"/>
      <sheetName val="Materials_Cost(PCC)53"/>
      <sheetName val="beam-reinft-machine_rm53"/>
      <sheetName val="beam_reinft_machine_rm53"/>
      <sheetName val="foot-slab_reinft53"/>
      <sheetName val="beam-reinft-IIInd_floor53"/>
      <sheetName val="Materials_Cost(PCC)52"/>
      <sheetName val="beam-reinft-machine_rm52"/>
      <sheetName val="beam_reinft_machine_rm52"/>
      <sheetName val="foot-slab_reinft52"/>
      <sheetName val="beam-reinft-IIInd_floor52"/>
      <sheetName val="Materials_Cost(PCC)51"/>
      <sheetName val="beam-reinft-machine_rm55"/>
      <sheetName val="beam_reinft_machine_rm55"/>
      <sheetName val="foot-slab_reinft55"/>
      <sheetName val="beam-reinft-IIInd_floor55"/>
      <sheetName val="Materials_Cost(PCC)54"/>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Rates"/>
      <sheetName val="AoR Finishing"/>
      <sheetName val="Revised BoQ Str"/>
      <sheetName val="oH(Str+finishing)"/>
      <sheetName val="oHS+F Ex Alu.+actual staff"/>
      <sheetName val="oHS+F Ex Alu. (trial)"/>
      <sheetName val="Ex aluminium"/>
      <sheetName val="oH(mc purchase)"/>
      <sheetName val="Sheet2"/>
      <sheetName val="Plang.1pour"/>
      <sheetName val="Plang.3pour"/>
      <sheetName val="Manpower"/>
      <sheetName val="Machine Schedule "/>
      <sheetName val="Sheet3"/>
      <sheetName val="Staff Schedule"/>
      <sheetName val="Sheet1"/>
      <sheetName val="Boq"/>
      <sheetName val="oH(Str+finhrhing)"/>
      <sheetName val="Manpnwer"/>
      <sheetName val="sheeet7"/>
      <sheetName val="Measurment"/>
      <sheetName val="abst-of -cost"/>
      <sheetName val="A.O.R r1Str"/>
      <sheetName val="A.O.R r1"/>
      <sheetName val="A.O.R (2)"/>
      <sheetName val="INTSHEET"/>
      <sheetName val="INTSHEET3"/>
      <sheetName val="AOR"/>
      <sheetName val="A.O.R."/>
      <sheetName val="A.O.R"/>
      <sheetName val="Consum"/>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eet1"/>
      <sheetName val="p&amp;m"/>
      <sheetName val="Sheet4"/>
      <sheetName val="rate anal"/>
      <sheetName val="Top Sheet"/>
      <sheetName val="Batch"/>
      <sheetName val="Sheet2"/>
      <sheetName val="Sheet3"/>
      <sheetName val="p_m"/>
      <sheetName val="PRECAST lightconc-II"/>
      <sheetName val="AoR Finishing"/>
      <sheetName val="Civil Boq"/>
      <sheetName val="Tender Summary"/>
      <sheetName val="labour coeff"/>
      <sheetName val="Meas.-Hotel Part"/>
      <sheetName val="VCH-SLC"/>
      <sheetName val="Supplier"/>
      <sheetName val="BOQ"/>
      <sheetName val="PC Master List"/>
      <sheetName val="factors"/>
      <sheetName val="pt-cw"/>
      <sheetName val="Boq- Civil"/>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TBAL9697 -group wise  sdpl"/>
      <sheetName val="p&amp;m"/>
      <sheetName val="beam-reinft"/>
      <sheetName val="HEAD"/>
      <sheetName val="concrete"/>
      <sheetName val="IO List"/>
      <sheetName val="pt-c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ead (SSR06-07)"/>
      <sheetName val="Datas(SSR06-07)"/>
      <sheetName val="Sheet1"/>
      <sheetName val="Gen Abstract"/>
      <sheetName val="Det of Lawn Develp (Det)"/>
      <sheetName val="Det of side drain (Det)"/>
      <sheetName val="Details of site Develp (Dets)"/>
      <sheetName val="Lawn Devlp (Abstr)"/>
      <sheetName val="Side drain (Abstr)"/>
      <sheetName val="Site Develp (Abstr)"/>
      <sheetName val="Electrical BOQ (Exter)"/>
      <sheetName val="Electrical BOQ (Inter)"/>
      <sheetName val="Roads (ABST)"/>
      <sheetName val="Roads(Dets)"/>
      <sheetName val="Compound wall (2nd final)"/>
      <sheetName val="Compound wall (Abstract)"/>
      <sheetName val="Det Est tank sump"/>
      <sheetName val="Tanks Abst Est"/>
      <sheetName val="Datas WS &amp; S"/>
      <sheetName val="Plumbing (External)"/>
      <sheetName val="Plumbing (Internal)"/>
      <sheetName val="leads Roads"/>
      <sheetName val="Date for roads"/>
      <sheetName val="Tennis courtDetailed Est"/>
      <sheetName val="Tennis court Abstract"/>
      <sheetName val="Detl Courts"/>
      <sheetName val="Abstract Courts"/>
      <sheetName val="Detail In Door Stad"/>
      <sheetName val="Abstarct In door"/>
      <sheetName val="Boq"/>
      <sheetName val="BLOCK-A (MEA.SHEET)"/>
      <sheetName val="Voucher"/>
      <sheetName val="Data"/>
      <sheetName val="Stress Calculation"/>
      <sheetName val="Copy Est HUDA Sports complex"/>
      <sheetName val="IO List"/>
      <sheetName val="LEVEL SHEET"/>
      <sheetName val="Design"/>
      <sheetName val="B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EMD "/>
      <sheetName val="Scrutiny"/>
      <sheetName val="Rates"/>
      <sheetName val="A.O.R"/>
      <sheetName val="OH"/>
      <sheetName val="formwork"/>
      <sheetName val="RPB"/>
      <sheetName val="RatesR1"/>
      <sheetName val="A.O.R r1"/>
      <sheetName val="OH R1"/>
      <sheetName val="formwork R1"/>
      <sheetName val="OH R1 (2Towers)"/>
      <sheetName val="A.O.R r1Str"/>
      <sheetName val="OH R1str"/>
      <sheetName val="Sheet1"/>
      <sheetName val="Rates (2)"/>
      <sheetName val="A.O.R (2)"/>
      <sheetName val="OH (2)"/>
      <sheetName val="Escalation"/>
      <sheetName val="Sheet2"/>
      <sheetName val="Sheet3"/>
      <sheetName val="Boq"/>
      <sheetName val="Boq (Main Building)"/>
      <sheetName val="A_O_R r1"/>
      <sheetName val="A_O_R r1Str"/>
      <sheetName val="A_O_R _2_"/>
      <sheetName val="NH R1 (2Towers)"/>
      <sheetName val="Measurment"/>
      <sheetName val="AoR Finishing"/>
      <sheetName val="Intro"/>
      <sheetName val="A.O.R."/>
      <sheetName val="AOR"/>
      <sheetName val="sheeet7"/>
      <sheetName val="GF Columns"/>
      <sheetName val="p&amp;m"/>
      <sheetName val="Consum"/>
      <sheetName val="ABSTRACT"/>
      <sheetName val="Detail In Door St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Encl."/>
      <sheetName val="Tender Gist"/>
      <sheetName val="K &amp; L"/>
      <sheetName val="EMD Req form"/>
      <sheetName val="Batching Plant"/>
      <sheetName val="P+M "/>
      <sheetName val="Comp. sheeting"/>
      <sheetName val="Analysis for sheeting"/>
      <sheetName val="Sheet1"/>
      <sheetName val="Annexure - 1"/>
      <sheetName val="CCCl Offer (Annexure)"/>
      <sheetName val="Split up"/>
      <sheetName val="Bulk Materials"/>
      <sheetName val="Boq (Main Building)"/>
      <sheetName val="Rate Analysis"/>
      <sheetName val="Qty VA"/>
      <sheetName val="Standard"/>
      <sheetName val="OH"/>
      <sheetName val="Top Sheet"/>
      <sheetName val="Cem. Consmption"/>
      <sheetName val="Scaffolding"/>
      <sheetName val="A.O.R r1Str"/>
      <sheetName val="A.O.R r1"/>
      <sheetName val="A.O.R (2)"/>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Sheet1"/>
      <sheetName val="p&amp;m"/>
      <sheetName val="Sheet4"/>
      <sheetName val="rate anal"/>
      <sheetName val="Top Sheet"/>
      <sheetName val="Batch"/>
      <sheetName val="Sheet2"/>
      <sheetName val="Sheet3"/>
      <sheetName val="Boq (Main Building)"/>
      <sheetName val="A.O.R r1Str"/>
      <sheetName val="A.O.R r1"/>
      <sheetName val="A.O.R (2)"/>
      <sheetName val="Detail"/>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Sheet1"/>
      <sheetName val="p&amp;m"/>
      <sheetName val="Sheet4"/>
      <sheetName val="rate anal"/>
      <sheetName val="Top Sheet"/>
      <sheetName val="Batch"/>
      <sheetName val="Sheet2"/>
      <sheetName val="Sheet3"/>
      <sheetName val="p_m"/>
      <sheetName val="GF Columns"/>
      <sheetName val="Fill this out first..."/>
      <sheetName val="Fill this out first___"/>
      <sheetName val="Design"/>
      <sheetName val="IO List"/>
      <sheetName val="Boq"/>
      <sheetName val="Detail"/>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NCRETE"/>
      <sheetName val="SHUTTER"/>
      <sheetName val="First Flr.Beams"/>
      <sheetName val="GR.slab-reinft"/>
      <sheetName val="GR.FLR. BEAMS&amp;TRENCHES"/>
      <sheetName val="Roof Beams"/>
      <sheetName val="STAIR REINFT."/>
      <sheetName val="Indices "/>
      <sheetName val="Indices-bar dia wise (2)"/>
      <sheetName val="GR_slab_reinft"/>
      <sheetName val="banilad"/>
      <sheetName val="Mactan"/>
      <sheetName val="Mandaue"/>
      <sheetName val="STAFFSCHED "/>
      <sheetName val="Boq"/>
      <sheetName val="beam-reinft-IIInd floor"/>
      <sheetName val="Detail"/>
      <sheetName val="Basis"/>
      <sheetName val="Design"/>
      <sheetName val="p&amp;m"/>
      <sheetName val="Data"/>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Rates"/>
      <sheetName val="AoR Finishing"/>
      <sheetName val="Revised BoQ Str"/>
      <sheetName val="oH(Str+finishing)"/>
      <sheetName val="oHS+F Ex Alu.+actual staff"/>
      <sheetName val="oHS+F Ex Alu. (trial)"/>
      <sheetName val="Ex aluminium"/>
      <sheetName val="oH(mc purchase)"/>
      <sheetName val="Sheet2"/>
      <sheetName val="Plang.1pour"/>
      <sheetName val="Plang.3pour"/>
      <sheetName val="Manpower"/>
      <sheetName val="Machine Schedule "/>
      <sheetName val="Sheet3"/>
      <sheetName val="Staff Schedule"/>
      <sheetName val="Sheet1"/>
      <sheetName val="A.O.R."/>
      <sheetName val="Sheet 1"/>
      <sheetName val="p&amp;m"/>
      <sheetName val="Boq"/>
      <sheetName val="oH(Str+finhrhing)"/>
      <sheetName val="Manpnwer"/>
      <sheetName val="A.O.R r1Str"/>
      <sheetName val="A.O.R r1"/>
      <sheetName val="A.O.R (2)"/>
      <sheetName val="sheeet7"/>
      <sheetName val="INTSHEET"/>
      <sheetName val="INTSHEET3"/>
      <sheetName val="AOR"/>
      <sheetName val="Measurment"/>
      <sheetName val="abst-of -cost"/>
      <sheetName val="A.O.R"/>
      <sheetName val="detail'02"/>
      <sheetName val="Consum"/>
      <sheetName val="GR.slab-reinft"/>
      <sheetName val="analysi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alculations"/>
      <sheetName val="Civil Boq"/>
      <sheetName val="L-Planks"/>
      <sheetName val="Assumptions"/>
      <sheetName val="Pre-cast Qty"/>
      <sheetName val="precast RC element"/>
      <sheetName val="Typical floor on 3BHK -STD"/>
      <sheetName val="Loads"/>
      <sheetName val="NET Sum"/>
      <sheetName val="upa"/>
      <sheetName val="COLUMN"/>
      <sheetName val="CASHFLOWS"/>
      <sheetName val="SUMMARY"/>
      <sheetName val="concrete"/>
      <sheetName val="Shuttering"/>
      <sheetName val="beam-reinft-IIInd floor"/>
      <sheetName val="III floor beam addl"/>
      <sheetName val="beam-reinft-mezzanine floor"/>
      <sheetName val="Indices-final"/>
      <sheetName val="Shuttering (2)"/>
      <sheetName val="beam-reinft-IIInd floor (2)"/>
      <sheetName val="III floor beam addl (2)"/>
      <sheetName val="beam-reinft-mezzanine floor (2)"/>
      <sheetName val="Indices-final (2)"/>
      <sheetName val="beam_reinft_IIInd floor"/>
      <sheetName val="foot-slab reinft"/>
      <sheetName val="estimate"/>
      <sheetName val="beam-reinft-machine rm"/>
      <sheetName val="Vind-BtB"/>
      <sheetName val="gen"/>
      <sheetName val="TBAL9697 -group wise  sdpl"/>
      <sheetName val="col-reinft1"/>
      <sheetName val="India F&amp;S Template"/>
      <sheetName val="Debits as on 12.04.08"/>
      <sheetName val="PRECAST lightconc-II"/>
      <sheetName val="Detail"/>
      <sheetName val="DATA SHEET"/>
      <sheetName val="R20_R30_work"/>
      <sheetName val="LIST OF MAKES"/>
      <sheetName val="beam-reinft-IIInd_floor"/>
      <sheetName val="III_floor_beam_addl"/>
      <sheetName val="beam-reinft-mezzanine_floor"/>
      <sheetName val="Shuttering_(2)"/>
      <sheetName val="beam-reinft-IIInd_floor_(2)"/>
      <sheetName val="III_floor_beam_addl_(2)"/>
      <sheetName val="beam-reinft-mezzanine_floor_(2)"/>
      <sheetName val="Indices-final_(2)"/>
      <sheetName val="beam_reinft_IIInd_floor"/>
      <sheetName val="foot-slab_reinft"/>
      <sheetName val="beam-reinft-machine_rm"/>
      <sheetName val="TBAL9697_-group_wise__sdpl"/>
      <sheetName val="India_F&amp;S_Template"/>
      <sheetName val="FitOutConfCentre"/>
      <sheetName val="beam-reinft-IIInd_floor2"/>
      <sheetName val="III_floor_beam_addl2"/>
      <sheetName val="beam-reinft-mezzanine_floor2"/>
      <sheetName val="Shuttering_(2)2"/>
      <sheetName val="beam-reinft-IIInd_floor_(2)2"/>
      <sheetName val="III_floor_beam_addl_(2)2"/>
      <sheetName val="beam-reinft-mezzanine_floor_(22"/>
      <sheetName val="Indices-final_(2)2"/>
      <sheetName val="beam_reinft_IIInd_floor2"/>
      <sheetName val="foot-slab_reinft2"/>
      <sheetName val="beam-reinft-machine_rm2"/>
      <sheetName val="TBAL9697_-group_wise__sdpl2"/>
      <sheetName val="India_F&amp;S_Template2"/>
      <sheetName val="beam-reinft-IIInd_floor1"/>
      <sheetName val="III_floor_beam_addl1"/>
      <sheetName val="beam-reinft-mezzanine_floor1"/>
      <sheetName val="Shuttering_(2)1"/>
      <sheetName val="beam-reinft-IIInd_floor_(2)1"/>
      <sheetName val="III_floor_beam_addl_(2)1"/>
      <sheetName val="beam-reinft-mezzanine_floor_(21"/>
      <sheetName val="Indices-final_(2)1"/>
      <sheetName val="beam_reinft_IIInd_floor1"/>
      <sheetName val="foot-slab_reinft1"/>
      <sheetName val="beam-reinft-machine_rm1"/>
      <sheetName val="TBAL9697_-group_wise__sdpl1"/>
      <sheetName val="India_F&amp;S_Template1"/>
      <sheetName val="beam-reinft-IIInd_floor3"/>
      <sheetName val="III_floor_beam_addl3"/>
      <sheetName val="beam-reinft-mezzanine_floor3"/>
      <sheetName val="Shuttering_(2)3"/>
      <sheetName val="beam-reinft-IIInd_floor_(2)3"/>
      <sheetName val="III_floor_beam_addl_(2)3"/>
      <sheetName val="beam-reinft-mezzanine_floor_(23"/>
      <sheetName val="Indices-final_(2)3"/>
      <sheetName val="beam_reinft_IIInd_floor3"/>
      <sheetName val="foot-slab_reinft3"/>
      <sheetName val="beam-reinft-machine_rm3"/>
      <sheetName val="TBAL9697_-group_wise__sdpl3"/>
      <sheetName val="India_F&amp;S_Template3"/>
      <sheetName val="beam-reinft-IIInd_floor4"/>
      <sheetName val="III_floor_beam_addl4"/>
      <sheetName val="beam-reinft-mezzanine_floor4"/>
      <sheetName val="Shuttering_(2)4"/>
      <sheetName val="beam-reinft-IIInd_floor_(2)4"/>
      <sheetName val="III_floor_beam_addl_(2)4"/>
      <sheetName val="beam-reinft-mezzanine_floor_(24"/>
      <sheetName val="Indices-final_(2)4"/>
      <sheetName val="beam_reinft_IIInd_floor4"/>
      <sheetName val="foot-slab_reinft4"/>
      <sheetName val="beam-reinft-machine_rm4"/>
      <sheetName val="TBAL9697_-group_wise__sdpl4"/>
      <sheetName val="India_F&amp;S_Template4"/>
      <sheetName val="beam-reinft-IIInd_floor5"/>
      <sheetName val="III_floor_beam_addl5"/>
      <sheetName val="beam-reinft-mezzanine_floor5"/>
      <sheetName val="Shuttering_(2)5"/>
      <sheetName val="beam-reinft-IIInd_floor_(2)5"/>
      <sheetName val="III_floor_beam_addl_(2)5"/>
      <sheetName val="beam-reinft-mezzanine_floor_(25"/>
      <sheetName val="Indices-final_(2)5"/>
      <sheetName val="beam_reinft_IIInd_floor5"/>
      <sheetName val="foot-slab_reinft5"/>
      <sheetName val="beam-reinft-machine_rm5"/>
      <sheetName val="TBAL9697_-group_wise__sdpl5"/>
      <sheetName val="India_F&amp;S_Template5"/>
      <sheetName val="beam-reinft-IIInd_floor6"/>
      <sheetName val="III_floor_beam_addl6"/>
      <sheetName val="beam-reinft-mezzanine_floor6"/>
      <sheetName val="Shuttering_(2)6"/>
      <sheetName val="beam-reinft-IIInd_floor_(2)6"/>
      <sheetName val="III_floor_beam_addl_(2)6"/>
      <sheetName val="beam-reinft-mezzanine_floor_(26"/>
      <sheetName val="Indices-final_(2)6"/>
      <sheetName val="beam_reinft_IIInd_floor6"/>
      <sheetName val="foot-slab_reinft6"/>
      <sheetName val="beam-reinft-machine_rm6"/>
      <sheetName val="TBAL9697_-group_wise__sdpl6"/>
      <sheetName val="India_F&amp;S_Template6"/>
      <sheetName val="beam-reinft-IIInd_floor7"/>
      <sheetName val="III_floor_beam_addl7"/>
      <sheetName val="beam-reinft-mezzanine_floor7"/>
      <sheetName val="Shuttering_(2)7"/>
      <sheetName val="beam-reinft-IIInd_floor_(2)7"/>
      <sheetName val="III_floor_beam_addl_(2)7"/>
      <sheetName val="beam-reinft-mezzanine_floor_(27"/>
      <sheetName val="Indices-final_(2)7"/>
      <sheetName val="beam_reinft_IIInd_floor7"/>
      <sheetName val="foot-slab_reinft7"/>
      <sheetName val="beam-reinft-machine_rm7"/>
      <sheetName val="TBAL9697_-group_wise__sdpl7"/>
      <sheetName val="India_F&amp;S_Template7"/>
      <sheetName val="beam-reinft-IIInd_floor8"/>
      <sheetName val="III_floor_beam_addl8"/>
      <sheetName val="beam-reinft-mezzanine_floor8"/>
      <sheetName val="Shuttering_(2)8"/>
      <sheetName val="beam-reinft-IIInd_floor_(2)8"/>
      <sheetName val="III_floor_beam_addl_(2)8"/>
      <sheetName val="beam-reinft-mezzanine_floor_(28"/>
      <sheetName val="Indices-final_(2)8"/>
      <sheetName val="beam_reinft_IIInd_floor8"/>
      <sheetName val="foot-slab_reinft8"/>
      <sheetName val="beam-reinft-machine_rm8"/>
      <sheetName val="TBAL9697_-group_wise__sdpl8"/>
      <sheetName val="India_F&amp;S_Template8"/>
      <sheetName val="beam-reinft-IIInd_floor14"/>
      <sheetName val="III_floor_beam_addl14"/>
      <sheetName val="beam-reinft-mezzanine_floor14"/>
      <sheetName val="Shuttering_(2)14"/>
      <sheetName val="beam-reinft-IIInd_floor_(2)14"/>
      <sheetName val="III_floor_beam_addl_(2)14"/>
      <sheetName val="beam-reinft-mezzanine_floor_(14"/>
      <sheetName val="Indices-final_(2)14"/>
      <sheetName val="beam_reinft_IIInd_floor14"/>
      <sheetName val="foot-slab_reinft14"/>
      <sheetName val="beam-reinft-machine_rm14"/>
      <sheetName val="TBAL9697_-group_wise__sdpl14"/>
      <sheetName val="India_F&amp;S_Template14"/>
      <sheetName val="beam-reinft-IIInd_floor10"/>
      <sheetName val="III_floor_beam_addl10"/>
      <sheetName val="beam-reinft-mezzanine_floor10"/>
      <sheetName val="Shuttering_(2)10"/>
      <sheetName val="beam-reinft-IIInd_floor_(2)10"/>
      <sheetName val="III_floor_beam_addl_(2)10"/>
      <sheetName val="beam-reinft-mezzanine_floor_(10"/>
      <sheetName val="Indices-final_(2)10"/>
      <sheetName val="beam_reinft_IIInd_floor10"/>
      <sheetName val="foot-slab_reinft10"/>
      <sheetName val="beam-reinft-machine_rm10"/>
      <sheetName val="TBAL9697_-group_wise__sdpl10"/>
      <sheetName val="India_F&amp;S_Template10"/>
      <sheetName val="beam-reinft-IIInd_floor9"/>
      <sheetName val="III_floor_beam_addl9"/>
      <sheetName val="beam-reinft-mezzanine_floor9"/>
      <sheetName val="Shuttering_(2)9"/>
      <sheetName val="beam-reinft-IIInd_floor_(2)9"/>
      <sheetName val="III_floor_beam_addl_(2)9"/>
      <sheetName val="beam-reinft-mezzanine_floor_(29"/>
      <sheetName val="Indices-final_(2)9"/>
      <sheetName val="beam_reinft_IIInd_floor9"/>
      <sheetName val="foot-slab_reinft9"/>
      <sheetName val="beam-reinft-machine_rm9"/>
      <sheetName val="TBAL9697_-group_wise__sdpl9"/>
      <sheetName val="India_F&amp;S_Template9"/>
      <sheetName val="beam-reinft-IIInd_floor11"/>
      <sheetName val="III_floor_beam_addl11"/>
      <sheetName val="beam-reinft-mezzanine_floor11"/>
      <sheetName val="Shuttering_(2)11"/>
      <sheetName val="beam-reinft-IIInd_floor_(2)11"/>
      <sheetName val="III_floor_beam_addl_(2)11"/>
      <sheetName val="beam-reinft-mezzanine_floor_(11"/>
      <sheetName val="Indices-final_(2)11"/>
      <sheetName val="beam_reinft_IIInd_floor11"/>
      <sheetName val="foot-slab_reinft11"/>
      <sheetName val="beam-reinft-machine_rm11"/>
      <sheetName val="TBAL9697_-group_wise__sdpl11"/>
      <sheetName val="India_F&amp;S_Template11"/>
      <sheetName val="beam-reinft-IIInd_floor12"/>
      <sheetName val="III_floor_beam_addl12"/>
      <sheetName val="beam-reinft-mezzanine_floor12"/>
      <sheetName val="Shuttering_(2)12"/>
      <sheetName val="beam-reinft-IIInd_floor_(2)12"/>
      <sheetName val="III_floor_beam_addl_(2)12"/>
      <sheetName val="beam-reinft-mezzanine_floor_(12"/>
      <sheetName val="Indices-final_(2)12"/>
      <sheetName val="beam_reinft_IIInd_floor12"/>
      <sheetName val="foot-slab_reinft12"/>
      <sheetName val="beam-reinft-machine_rm12"/>
      <sheetName val="TBAL9697_-group_wise__sdpl12"/>
      <sheetName val="India_F&amp;S_Template12"/>
      <sheetName val="beam-reinft-IIInd_floor13"/>
      <sheetName val="III_floor_beam_addl13"/>
      <sheetName val="beam-reinft-mezzanine_floor13"/>
      <sheetName val="Shuttering_(2)13"/>
      <sheetName val="beam-reinft-IIInd_floor_(2)13"/>
      <sheetName val="III_floor_beam_addl_(2)13"/>
      <sheetName val="beam-reinft-mezzanine_floor_(13"/>
      <sheetName val="Indices-final_(2)13"/>
      <sheetName val="beam_reinft_IIInd_floor13"/>
      <sheetName val="foot-slab_reinft13"/>
      <sheetName val="beam-reinft-machine_rm13"/>
      <sheetName val="TBAL9697_-group_wise__sdpl13"/>
      <sheetName val="India_F&amp;S_Template13"/>
      <sheetName val="beam-reinft-IIInd_floor20"/>
      <sheetName val="III_floor_beam_addl20"/>
      <sheetName val="beam-reinft-mezzanine_floor20"/>
      <sheetName val="Shuttering_(2)20"/>
      <sheetName val="beam-reinft-IIInd_floor_(2)20"/>
      <sheetName val="III_floor_beam_addl_(2)20"/>
      <sheetName val="beam-reinft-mezzanine_floor_(20"/>
      <sheetName val="Indices-final_(2)20"/>
      <sheetName val="beam_reinft_IIInd_floor20"/>
      <sheetName val="foot-slab_reinft20"/>
      <sheetName val="beam-reinft-machine_rm20"/>
      <sheetName val="TBAL9697_-group_wise__sdpl20"/>
      <sheetName val="India_F&amp;S_Template20"/>
      <sheetName val="beam-reinft-IIInd_floor15"/>
      <sheetName val="III_floor_beam_addl15"/>
      <sheetName val="beam-reinft-mezzanine_floor15"/>
      <sheetName val="Shuttering_(2)15"/>
      <sheetName val="beam-reinft-IIInd_floor_(2)15"/>
      <sheetName val="III_floor_beam_addl_(2)15"/>
      <sheetName val="beam-reinft-mezzanine_floor_(15"/>
      <sheetName val="Indices-final_(2)15"/>
      <sheetName val="beam_reinft_IIInd_floor15"/>
      <sheetName val="foot-slab_reinft15"/>
      <sheetName val="beam-reinft-machine_rm15"/>
      <sheetName val="TBAL9697_-group_wise__sdpl15"/>
      <sheetName val="India_F&amp;S_Template15"/>
      <sheetName val="beam-reinft-IIInd_floor16"/>
      <sheetName val="III_floor_beam_addl16"/>
      <sheetName val="beam-reinft-mezzanine_floor16"/>
      <sheetName val="Shuttering_(2)16"/>
      <sheetName val="beam-reinft-IIInd_floor_(2)16"/>
      <sheetName val="III_floor_beam_addl_(2)16"/>
      <sheetName val="beam-reinft-mezzanine_floor_(16"/>
      <sheetName val="Indices-final_(2)16"/>
      <sheetName val="beam_reinft_IIInd_floor16"/>
      <sheetName val="foot-slab_reinft16"/>
      <sheetName val="beam-reinft-machine_rm16"/>
      <sheetName val="TBAL9697_-group_wise__sdpl16"/>
      <sheetName val="India_F&amp;S_Template16"/>
      <sheetName val="Debits_as_on_12_04_083"/>
      <sheetName val="DATA_SHEET3"/>
      <sheetName val="LIST_OF_MAKES3"/>
      <sheetName val="beam-reinft-IIInd_floor17"/>
      <sheetName val="III_floor_beam_addl17"/>
      <sheetName val="beam-reinft-mezzanine_floor17"/>
      <sheetName val="Shuttering_(2)17"/>
      <sheetName val="beam-reinft-IIInd_floor_(2)17"/>
      <sheetName val="III_floor_beam_addl_(2)17"/>
      <sheetName val="beam-reinft-mezzanine_floor_(17"/>
      <sheetName val="Indices-final_(2)17"/>
      <sheetName val="beam_reinft_IIInd_floor17"/>
      <sheetName val="foot-slab_reinft17"/>
      <sheetName val="beam-reinft-machine_rm17"/>
      <sheetName val="TBAL9697_-group_wise__sdpl17"/>
      <sheetName val="India_F&amp;S_Template17"/>
      <sheetName val="Debits_as_on_12_04_08"/>
      <sheetName val="DATA_SHEET"/>
      <sheetName val="LIST_OF_MAKES"/>
      <sheetName val="beam-reinft-IIInd_floor18"/>
      <sheetName val="III_floor_beam_addl18"/>
      <sheetName val="beam-reinft-mezzanine_floor18"/>
      <sheetName val="Shuttering_(2)18"/>
      <sheetName val="beam-reinft-IIInd_floor_(2)18"/>
      <sheetName val="III_floor_beam_addl_(2)18"/>
      <sheetName val="beam-reinft-mezzanine_floor_(18"/>
      <sheetName val="Indices-final_(2)18"/>
      <sheetName val="beam_reinft_IIInd_floor18"/>
      <sheetName val="foot-slab_reinft18"/>
      <sheetName val="beam-reinft-machine_rm18"/>
      <sheetName val="TBAL9697_-group_wise__sdpl18"/>
      <sheetName val="India_F&amp;S_Template18"/>
      <sheetName val="Debits_as_on_12_04_081"/>
      <sheetName val="DATA_SHEET1"/>
      <sheetName val="LIST_OF_MAKES1"/>
      <sheetName val="beam-reinft-IIInd_floor19"/>
      <sheetName val="III_floor_beam_addl19"/>
      <sheetName val="beam-reinft-mezzanine_floor19"/>
      <sheetName val="Shuttering_(2)19"/>
      <sheetName val="beam-reinft-IIInd_floor_(2)19"/>
      <sheetName val="III_floor_beam_addl_(2)19"/>
      <sheetName val="beam-reinft-mezzanine_floor_(19"/>
      <sheetName val="Indices-final_(2)19"/>
      <sheetName val="beam_reinft_IIInd_floor19"/>
      <sheetName val="foot-slab_reinft19"/>
      <sheetName val="beam-reinft-machine_rm19"/>
      <sheetName val="TBAL9697_-group_wise__sdpl19"/>
      <sheetName val="India_F&amp;S_Template19"/>
      <sheetName val="Debits_as_on_12_04_082"/>
      <sheetName val="DATA_SHEET2"/>
      <sheetName val="LIST_OF_MAKES2"/>
      <sheetName val="beam-reinft-IIInd_floor21"/>
      <sheetName val="III_floor_beam_addl21"/>
      <sheetName val="beam-reinft-mezzanine_floor21"/>
      <sheetName val="Shuttering_(2)21"/>
      <sheetName val="beam-reinft-IIInd_floor_(2)21"/>
      <sheetName val="III_floor_beam_addl_(2)21"/>
      <sheetName val="beam-reinft-mezzanine_floor_(30"/>
      <sheetName val="Indices-final_(2)21"/>
      <sheetName val="beam_reinft_IIInd_floor21"/>
      <sheetName val="foot-slab_reinft21"/>
      <sheetName val="beam-reinft-machine_rm21"/>
      <sheetName val="TBAL9697_-group_wise__sdpl21"/>
      <sheetName val="India_F&amp;S_Template21"/>
      <sheetName val="Debits_as_on_12_04_084"/>
      <sheetName val="DATA_SHEET4"/>
      <sheetName val="LIST_OF_MAKES4"/>
      <sheetName val="beam-reinft-IIInd_floor22"/>
      <sheetName val="III_floor_beam_addl22"/>
      <sheetName val="beam-reinft-mezzanine_floor22"/>
      <sheetName val="Shuttering_(2)22"/>
      <sheetName val="beam-reinft-IIInd_floor_(2)22"/>
      <sheetName val="III_floor_beam_addl_(2)22"/>
      <sheetName val="beam-reinft-mezzanine_floor_(31"/>
      <sheetName val="Indices-final_(2)22"/>
      <sheetName val="beam_reinft_IIInd_floor22"/>
      <sheetName val="foot-slab_reinft22"/>
      <sheetName val="beam-reinft-machine_rm22"/>
      <sheetName val="TBAL9697_-group_wise__sdpl22"/>
      <sheetName val="India_F&amp;S_Template22"/>
      <sheetName val="Debits_as_on_12_04_085"/>
      <sheetName val="DATA_SHEET5"/>
      <sheetName val="LIST_OF_MAKES5"/>
      <sheetName val="Materials Cost(PCC)"/>
      <sheetName val="Costing"/>
      <sheetName val="Mat_Cost"/>
      <sheetName val="Sheet2"/>
      <sheetName val="02"/>
      <sheetName val="03"/>
      <sheetName val="04"/>
      <sheetName val="01"/>
      <sheetName val="SPT vs PHI"/>
      <sheetName val="Design"/>
      <sheetName val="MG"/>
      <sheetName val="#REF"/>
      <sheetName val="Sheet1"/>
      <sheetName val="foot_slab reinft"/>
      <sheetName val="office"/>
      <sheetName val="Lab"/>
      <sheetName val="Material&amp;equipment"/>
      <sheetName val="Code"/>
      <sheetName val="beam-reinft-IIInd_floor23"/>
      <sheetName val="III_floor_beam_addl23"/>
      <sheetName val="beam-reinft-mezzanine_floor23"/>
      <sheetName val="Shuttering_(2)23"/>
      <sheetName val="beam-reinft-IIInd_floor_(2)23"/>
      <sheetName val="III_floor_beam_addl_(2)23"/>
      <sheetName val="beam-reinft-mezzanine_floor_(32"/>
      <sheetName val="Indices-final_(2)23"/>
      <sheetName val="beam_reinft_IIInd_floor23"/>
      <sheetName val="foot-slab_reinft23"/>
      <sheetName val="beam-reinft-machine_rm23"/>
      <sheetName val="TBAL9697_-group_wise__sdpl23"/>
      <sheetName val="India_F&amp;S_Template23"/>
      <sheetName val="Debits_as_on_12_04_086"/>
      <sheetName val="DATA_SHEET6"/>
      <sheetName val="LIST_OF_MAKES6"/>
      <sheetName val="beam-reinft-IIInd_floor24"/>
      <sheetName val="III_floor_beam_addl24"/>
      <sheetName val="beam-reinft-mezzanine_floor24"/>
      <sheetName val="Shuttering_(2)24"/>
      <sheetName val="beam-reinft-IIInd_floor_(2)24"/>
      <sheetName val="III_floor_beam_addl_(2)24"/>
      <sheetName val="beam-reinft-mezzanine_floor_(33"/>
      <sheetName val="Indices-final_(2)24"/>
      <sheetName val="beam_reinft_IIInd_floor24"/>
      <sheetName val="foot-slab_reinft24"/>
      <sheetName val="beam-reinft-machine_rm24"/>
      <sheetName val="TBAL9697_-group_wise__sdpl24"/>
      <sheetName val="India_F&amp;S_Template24"/>
      <sheetName val="Debits_as_on_12_04_087"/>
      <sheetName val="DATA_SHEET7"/>
      <sheetName val="LIST_OF_MAKES7"/>
      <sheetName val="PRECAST_lightconc-II"/>
      <sheetName val="girder"/>
      <sheetName val="Rocker"/>
      <sheetName val="98Price"/>
      <sheetName val="banilad"/>
      <sheetName val="Mactan"/>
      <sheetName val="Mandaue"/>
      <sheetName val="RCC,Ret. Wall"/>
      <sheetName val="Internet"/>
      <sheetName val="beam-reinft-IIInd_floor30"/>
      <sheetName val="III_floor_beam_addl30"/>
      <sheetName val="beam-reinft-mezzanine_floor30"/>
      <sheetName val="Shuttering_(2)30"/>
      <sheetName val="beam-reinft-IIInd_floor_(2)30"/>
      <sheetName val="III_floor_beam_addl_(2)30"/>
      <sheetName val="beam-reinft-mezzanine_floor_(39"/>
      <sheetName val="Indices-final_(2)30"/>
      <sheetName val="beam_reinft_IIInd_floor30"/>
      <sheetName val="foot-slab_reinft30"/>
      <sheetName val="beam-reinft-machine_rm30"/>
      <sheetName val="TBAL9697_-group_wise__sdpl29"/>
      <sheetName val="beam-reinft-IIInd_floor25"/>
      <sheetName val="III_floor_beam_addl25"/>
      <sheetName val="beam-reinft-mezzanine_floor25"/>
      <sheetName val="Shuttering_(2)25"/>
      <sheetName val="beam-reinft-IIInd_floor_(2)25"/>
      <sheetName val="III_floor_beam_addl_(2)25"/>
      <sheetName val="beam-reinft-mezzanine_floor_(34"/>
      <sheetName val="Indices-final_(2)25"/>
      <sheetName val="beam_reinft_IIInd_floor25"/>
      <sheetName val="foot-slab_reinft25"/>
      <sheetName val="beam-reinft-machine_rm25"/>
      <sheetName val="beam-reinft-IIInd_floor29"/>
      <sheetName val="III_floor_beam_addl29"/>
      <sheetName val="beam-reinft-mezzanine_floor29"/>
      <sheetName val="Shuttering_(2)29"/>
      <sheetName val="beam-reinft-IIInd_floor_(2)29"/>
      <sheetName val="III_floor_beam_addl_(2)29"/>
      <sheetName val="beam-reinft-mezzanine_floor_(38"/>
      <sheetName val="Indices-final_(2)29"/>
      <sheetName val="foot-slab_reinft29"/>
      <sheetName val="beam_reinft_IIInd_floor29"/>
      <sheetName val="beam-reinft-machine_rm29"/>
      <sheetName val="TBAL9697_-group_wise__sdpl28"/>
      <sheetName val="beam-reinft-IIInd_floor26"/>
      <sheetName val="III_floor_beam_addl26"/>
      <sheetName val="beam-reinft-mezzanine_floor26"/>
      <sheetName val="Shuttering_(2)26"/>
      <sheetName val="beam-reinft-IIInd_floor_(2)26"/>
      <sheetName val="III_floor_beam_addl_(2)26"/>
      <sheetName val="beam-reinft-mezzanine_floor_(35"/>
      <sheetName val="Indices-final_(2)26"/>
      <sheetName val="foot-slab_reinft26"/>
      <sheetName val="beam_reinft_IIInd_floor26"/>
      <sheetName val="beam-reinft-machine_rm26"/>
      <sheetName val="TBAL9697_-group_wise__sdpl25"/>
      <sheetName val="beam-reinft-IIInd_floor27"/>
      <sheetName val="III_floor_beam_addl27"/>
      <sheetName val="beam-reinft-mezzanine_floor27"/>
      <sheetName val="Shuttering_(2)27"/>
      <sheetName val="beam-reinft-IIInd_floor_(2)27"/>
      <sheetName val="III_floor_beam_addl_(2)27"/>
      <sheetName val="beam-reinft-mezzanine_floor_(36"/>
      <sheetName val="Indices-final_(2)27"/>
      <sheetName val="foot-slab_reinft27"/>
      <sheetName val="beam_reinft_IIInd_floor27"/>
      <sheetName val="beam-reinft-machine_rm27"/>
      <sheetName val="TBAL9697_-group_wise__sdpl26"/>
      <sheetName val="beam-reinft-IIInd_floor28"/>
      <sheetName val="III_floor_beam_addl28"/>
      <sheetName val="beam-reinft-mezzanine_floor28"/>
      <sheetName val="Shuttering_(2)28"/>
      <sheetName val="beam-reinft-IIInd_floor_(2)28"/>
      <sheetName val="III_floor_beam_addl_(2)28"/>
      <sheetName val="beam-reinft-mezzanine_floor_(37"/>
      <sheetName val="Indices-final_(2)28"/>
      <sheetName val="foot-slab_reinft28"/>
      <sheetName val="beam_reinft_IIInd_floor28"/>
      <sheetName val="beam-reinft-machine_rm28"/>
      <sheetName val="TBAL9697_-group_wise__sdpl27"/>
      <sheetName val="beam-reinft-IIInd_floor38"/>
      <sheetName val="III_floor_beam_addl38"/>
      <sheetName val="beam-reinft-mezzanine_floor38"/>
      <sheetName val="Shuttering_(2)38"/>
      <sheetName val="beam-reinft-IIInd_floor_(2)38"/>
      <sheetName val="III_floor_beam_addl_(2)38"/>
      <sheetName val="beam-reinft-mezzanine_floor_(47"/>
      <sheetName val="Indices-final_(2)38"/>
      <sheetName val="foot-slab_reinft38"/>
      <sheetName val="beam_reinft_IIInd_floor38"/>
      <sheetName val="beam-reinft-machine_rm38"/>
      <sheetName val="TBAL9697_-group_wise__sdpl37"/>
      <sheetName val="beam-reinft-IIInd_floor31"/>
      <sheetName val="III_floor_beam_addl31"/>
      <sheetName val="beam-reinft-mezzanine_floor31"/>
      <sheetName val="Shuttering_(2)31"/>
      <sheetName val="beam-reinft-IIInd_floor_(2)31"/>
      <sheetName val="III_floor_beam_addl_(2)31"/>
      <sheetName val="beam-reinft-mezzanine_floor_(40"/>
      <sheetName val="Indices-final_(2)31"/>
      <sheetName val="foot-slab_reinft31"/>
      <sheetName val="beam_reinft_IIInd_floor31"/>
      <sheetName val="beam-reinft-machine_rm31"/>
      <sheetName val="TBAL9697_-group_wise__sdpl30"/>
      <sheetName val="beam-reinft-IIInd_floor32"/>
      <sheetName val="III_floor_beam_addl32"/>
      <sheetName val="beam-reinft-mezzanine_floor32"/>
      <sheetName val="Shuttering_(2)32"/>
      <sheetName val="beam-reinft-IIInd_floor_(2)32"/>
      <sheetName val="III_floor_beam_addl_(2)32"/>
      <sheetName val="beam-reinft-mezzanine_floor_(41"/>
      <sheetName val="Indices-final_(2)32"/>
      <sheetName val="foot-slab_reinft32"/>
      <sheetName val="beam_reinft_IIInd_floor32"/>
      <sheetName val="beam-reinft-machine_rm32"/>
      <sheetName val="TBAL9697_-group_wise__sdpl31"/>
      <sheetName val="beam-reinft-IIInd_floor33"/>
      <sheetName val="III_floor_beam_addl33"/>
      <sheetName val="beam-reinft-mezzanine_floor33"/>
      <sheetName val="Shuttering_(2)33"/>
      <sheetName val="beam-reinft-IIInd_floor_(2)33"/>
      <sheetName val="III_floor_beam_addl_(2)33"/>
      <sheetName val="beam-reinft-mezzanine_floor_(42"/>
      <sheetName val="Indices-final_(2)33"/>
      <sheetName val="foot-slab_reinft33"/>
      <sheetName val="beam_reinft_IIInd_floor33"/>
      <sheetName val="beam-reinft-machine_rm33"/>
      <sheetName val="TBAL9697_-group_wise__sdpl32"/>
      <sheetName val="beam-reinft-IIInd_floor34"/>
      <sheetName val="III_floor_beam_addl34"/>
      <sheetName val="beam-reinft-mezzanine_floor34"/>
      <sheetName val="Shuttering_(2)34"/>
      <sheetName val="beam-reinft-IIInd_floor_(2)34"/>
      <sheetName val="III_floor_beam_addl_(2)34"/>
      <sheetName val="beam-reinft-mezzanine_floor_(43"/>
      <sheetName val="Indices-final_(2)34"/>
      <sheetName val="foot-slab_reinft34"/>
      <sheetName val="beam_reinft_IIInd_floor34"/>
      <sheetName val="beam-reinft-machine_rm34"/>
      <sheetName val="TBAL9697_-group_wise__sdpl33"/>
      <sheetName val="beam-reinft-IIInd_floor36"/>
      <sheetName val="III_floor_beam_addl36"/>
      <sheetName val="beam-reinft-mezzanine_floor36"/>
      <sheetName val="Shuttering_(2)36"/>
      <sheetName val="beam-reinft-IIInd_floor_(2)36"/>
      <sheetName val="III_floor_beam_addl_(2)36"/>
      <sheetName val="beam-reinft-mezzanine_floor_(45"/>
      <sheetName val="Indices-final_(2)36"/>
      <sheetName val="foot-slab_reinft36"/>
      <sheetName val="beam_reinft_IIInd_floor36"/>
      <sheetName val="beam-reinft-machine_rm36"/>
      <sheetName val="TBAL9697_-group_wise__sdpl35"/>
      <sheetName val="beam-reinft-IIInd_floor35"/>
      <sheetName val="III_floor_beam_addl35"/>
      <sheetName val="beam-reinft-mezzanine_floor35"/>
      <sheetName val="Shuttering_(2)35"/>
      <sheetName val="beam-reinft-IIInd_floor_(2)35"/>
      <sheetName val="III_floor_beam_addl_(2)35"/>
      <sheetName val="beam-reinft-mezzanine_floor_(44"/>
      <sheetName val="Indices-final_(2)35"/>
      <sheetName val="foot-slab_reinft35"/>
      <sheetName val="beam_reinft_IIInd_floor35"/>
      <sheetName val="beam-reinft-machine_rm35"/>
      <sheetName val="TBAL9697_-group_wise__sdpl34"/>
      <sheetName val="beam-reinft-IIInd_floor37"/>
      <sheetName val="III_floor_beam_addl37"/>
      <sheetName val="beam-reinft-mezzanine_floor37"/>
      <sheetName val="Shuttering_(2)37"/>
      <sheetName val="beam-reinft-IIInd_floor_(2)37"/>
      <sheetName val="III_floor_beam_addl_(2)37"/>
      <sheetName val="beam-reinft-mezzanine_floor_(46"/>
      <sheetName val="Indices-final_(2)37"/>
      <sheetName val="foot-slab_reinft37"/>
      <sheetName val="beam_reinft_IIInd_floor37"/>
      <sheetName val="beam-reinft-machine_rm37"/>
      <sheetName val="TBAL9697_-group_wise__sdpl36"/>
      <sheetName val="beam-reinft-IIInd_floor39"/>
      <sheetName val="III_floor_beam_addl39"/>
      <sheetName val="beam-reinft-mezzanine_floor39"/>
      <sheetName val="Shuttering_(2)39"/>
      <sheetName val="beam-reinft-IIInd_floor_(2)39"/>
      <sheetName val="III_floor_beam_addl_(2)39"/>
      <sheetName val="beam-reinft-mezzanine_floor_(48"/>
      <sheetName val="Indices-final_(2)39"/>
      <sheetName val="foot-slab_reinft39"/>
      <sheetName val="beam_reinft_IIInd_floor39"/>
      <sheetName val="beam-reinft-machine_rm39"/>
      <sheetName val="TBAL9697_-group_wise__sdpl38"/>
      <sheetName val="beam-reinft-IIInd_floor40"/>
      <sheetName val="III_floor_beam_addl40"/>
      <sheetName val="beam-reinft-mezzanine_floor40"/>
      <sheetName val="Shuttering_(2)40"/>
      <sheetName val="beam-reinft-IIInd_floor_(2)40"/>
      <sheetName val="III_floor_beam_addl_(2)40"/>
      <sheetName val="beam-reinft-mezzanine_floor_(49"/>
      <sheetName val="Indices-final_(2)40"/>
      <sheetName val="foot-slab_reinft40"/>
      <sheetName val="beam_reinft_IIInd_floor40"/>
      <sheetName val="beam-reinft-machine_rm40"/>
      <sheetName val="TBAL9697_-group_wise__sdpl39"/>
      <sheetName val="beam-reinft-IIInd_floor41"/>
      <sheetName val="III_floor_beam_addl41"/>
      <sheetName val="beam-reinft-mezzanine_floor41"/>
      <sheetName val="Shuttering_(2)41"/>
      <sheetName val="beam-reinft-IIInd_floor_(2)41"/>
      <sheetName val="III_floor_beam_addl_(2)41"/>
      <sheetName val="beam-reinft-mezzanine_floor_(50"/>
      <sheetName val="Indices-final_(2)41"/>
      <sheetName val="foot-slab_reinft41"/>
      <sheetName val="beam_reinft_IIInd_floor41"/>
      <sheetName val="beam-reinft-machine_rm41"/>
      <sheetName val="TBAL9697_-group_wise__sdpl40"/>
      <sheetName val="beam-reinft-IIInd_floor42"/>
      <sheetName val="III_floor_beam_addl42"/>
      <sheetName val="beam-reinft-mezzanine_floor42"/>
      <sheetName val="Shuttering_(2)42"/>
      <sheetName val="beam-reinft-IIInd_floor_(2)42"/>
      <sheetName val="III_floor_beam_addl_(2)42"/>
      <sheetName val="beam-reinft-mezzanine_floor_(51"/>
      <sheetName val="Indices-final_(2)42"/>
      <sheetName val="foot-slab_reinft42"/>
      <sheetName val="beam_reinft_IIInd_floor42"/>
      <sheetName val="beam-reinft-machine_rm42"/>
      <sheetName val="TBAL9697_-group_wise__sdpl41"/>
      <sheetName val="beam-reinft-IIInd_floor43"/>
      <sheetName val="III_floor_beam_addl43"/>
      <sheetName val="beam-reinft-mezzanine_floor43"/>
      <sheetName val="Shuttering_(2)43"/>
      <sheetName val="beam-reinft-IIInd_floor_(2)43"/>
      <sheetName val="III_floor_beam_addl_(2)43"/>
      <sheetName val="beam-reinft-mezzanine_floor_(52"/>
      <sheetName val="Indices-final_(2)43"/>
      <sheetName val="foot-slab_reinft43"/>
      <sheetName val="beam_reinft_IIInd_floor43"/>
      <sheetName val="beam-reinft-machine_rm43"/>
      <sheetName val="TBAL9697_-group_wise__sdpl42"/>
      <sheetName val="beam-reinft-IIInd_floor44"/>
      <sheetName val="III_floor_beam_addl44"/>
      <sheetName val="beam-reinft-mezzanine_floor44"/>
      <sheetName val="Shuttering_(2)44"/>
      <sheetName val="beam-reinft-IIInd_floor_(2)44"/>
      <sheetName val="III_floor_beam_addl_(2)44"/>
      <sheetName val="beam-reinft-mezzanine_floor_(53"/>
      <sheetName val="Indices-final_(2)44"/>
      <sheetName val="foot-slab_reinft44"/>
      <sheetName val="beam_reinft_IIInd_floor44"/>
      <sheetName val="beam-reinft-machine_rm44"/>
      <sheetName val="TBAL9697_-group_wise__sdpl43"/>
      <sheetName val="beam-reinft-IIInd_floor47"/>
      <sheetName val="III_floor_beam_addl47"/>
      <sheetName val="beam-reinft-mezzanine_floor47"/>
      <sheetName val="Shuttering_(2)47"/>
      <sheetName val="beam-reinft-IIInd_floor_(2)47"/>
      <sheetName val="III_floor_beam_addl_(2)47"/>
      <sheetName val="beam-reinft-mezzanine_floor_(56"/>
      <sheetName val="Indices-final_(2)47"/>
      <sheetName val="foot-slab_reinft47"/>
      <sheetName val="beam_reinft_IIInd_floor47"/>
      <sheetName val="beam-reinft-machine_rm47"/>
      <sheetName val="TBAL9697_-group_wise__sdpl46"/>
      <sheetName val="beam-reinft-IIInd_floor46"/>
      <sheetName val="III_floor_beam_addl46"/>
      <sheetName val="beam-reinft-mezzanine_floor46"/>
      <sheetName val="Shuttering_(2)46"/>
      <sheetName val="beam-reinft-IIInd_floor_(2)46"/>
      <sheetName val="III_floor_beam_addl_(2)46"/>
      <sheetName val="beam-reinft-mezzanine_floor_(55"/>
      <sheetName val="Indices-final_(2)46"/>
      <sheetName val="foot-slab_reinft46"/>
      <sheetName val="beam_reinft_IIInd_floor46"/>
      <sheetName val="beam-reinft-machine_rm46"/>
      <sheetName val="TBAL9697_-group_wise__sdpl45"/>
      <sheetName val="beam-reinft-IIInd_floor45"/>
      <sheetName val="III_floor_beam_addl45"/>
      <sheetName val="beam-reinft-mezzanine_floor45"/>
      <sheetName val="Shuttering_(2)45"/>
      <sheetName val="beam-reinft-IIInd_floor_(2)45"/>
      <sheetName val="III_floor_beam_addl_(2)45"/>
      <sheetName val="beam-reinft-mezzanine_floor_(54"/>
      <sheetName val="Indices-final_(2)45"/>
      <sheetName val="foot-slab_reinft45"/>
      <sheetName val="beam_reinft_IIInd_floor45"/>
      <sheetName val="beam-reinft-machine_rm45"/>
      <sheetName val="TBAL9697_-group_wise__sdpl44"/>
      <sheetName val="beam-reinft-IIInd_floor48"/>
      <sheetName val="III_floor_beam_addl48"/>
      <sheetName val="beam-reinft-mezzanine_floor48"/>
      <sheetName val="Shuttering_(2)48"/>
      <sheetName val="beam-reinft-IIInd_floor_(2)48"/>
      <sheetName val="III_floor_beam_addl_(2)48"/>
      <sheetName val="beam-reinft-mezzanine_floor_(57"/>
      <sheetName val="Indices-final_(2)48"/>
      <sheetName val="foot-slab_reinft48"/>
      <sheetName val="beam_reinft_IIInd_floor48"/>
      <sheetName val="beam-reinft-machine_rm48"/>
      <sheetName val="TBAL9697_-group_wise__sdpl47"/>
      <sheetName val="beam-reinft-IIInd_floor49"/>
      <sheetName val="III_floor_beam_addl49"/>
      <sheetName val="beam-reinft-mezzanine_floor49"/>
      <sheetName val="Shuttering_(2)49"/>
      <sheetName val="beam-reinft-IIInd_floor_(2)49"/>
      <sheetName val="III_floor_beam_addl_(2)49"/>
      <sheetName val="beam-reinft-mezzanine_floor_(58"/>
      <sheetName val="Indices-final_(2)49"/>
      <sheetName val="foot-slab_reinft49"/>
      <sheetName val="beam_reinft_IIInd_floor49"/>
      <sheetName val="beam-reinft-machine_rm49"/>
      <sheetName val="TBAL9697_-group_wise__sdpl48"/>
      <sheetName val="beam-reinft-IIInd_floor50"/>
      <sheetName val="III_floor_beam_addl50"/>
      <sheetName val="beam-reinft-mezzanine_floor50"/>
      <sheetName val="Shuttering_(2)50"/>
      <sheetName val="beam-reinft-IIInd_floor_(2)50"/>
      <sheetName val="III_floor_beam_addl_(2)50"/>
      <sheetName val="beam-reinft-mezzanine_floor_(59"/>
      <sheetName val="Indices-final_(2)50"/>
      <sheetName val="foot-slab_reinft50"/>
      <sheetName val="beam_reinft_IIInd_floor50"/>
      <sheetName val="beam-reinft-machine_rm50"/>
      <sheetName val="TBAL9697_-group_wise__sdpl49"/>
      <sheetName val="beam-reinft-IIInd_floor51"/>
      <sheetName val="III_floor_beam_addl51"/>
      <sheetName val="beam-reinft-mezzanine_floor51"/>
      <sheetName val="Shuttering_(2)51"/>
      <sheetName val="beam-reinft-IIInd_floor_(2)51"/>
      <sheetName val="III_floor_beam_addl_(2)51"/>
      <sheetName val="beam-reinft-mezzanine_floor_(60"/>
      <sheetName val="Indices-final_(2)51"/>
      <sheetName val="foot-slab_reinft51"/>
      <sheetName val="beam_reinft_IIInd_floor51"/>
      <sheetName val="beam-reinft-machine_rm51"/>
      <sheetName val="TBAL9697_-group_wise__sdpl50"/>
      <sheetName val="beam-reinft-IIInd_floor54"/>
      <sheetName val="III_floor_beam_addl54"/>
      <sheetName val="beam-reinft-mezzanine_floor54"/>
      <sheetName val="Shuttering_(2)54"/>
      <sheetName val="beam-reinft-IIInd_floor_(2)54"/>
      <sheetName val="III_floor_beam_addl_(2)54"/>
      <sheetName val="beam-reinft-mezzanine_floor_(63"/>
      <sheetName val="Indices-final_(2)54"/>
      <sheetName val="foot-slab_reinft54"/>
      <sheetName val="beam_reinft_IIInd_floor54"/>
      <sheetName val="beam-reinft-machine_rm54"/>
      <sheetName val="TBAL9697_-group_wise__sdpl53"/>
      <sheetName val="beam-reinft-IIInd_floor53"/>
      <sheetName val="III_floor_beam_addl53"/>
      <sheetName val="beam-reinft-mezzanine_floor53"/>
      <sheetName val="Shuttering_(2)53"/>
      <sheetName val="beam-reinft-IIInd_floor_(2)53"/>
      <sheetName val="III_floor_beam_addl_(2)53"/>
      <sheetName val="beam-reinft-mezzanine_floor_(62"/>
      <sheetName val="Indices-final_(2)53"/>
      <sheetName val="foot-slab_reinft53"/>
      <sheetName val="beam_reinft_IIInd_floor53"/>
      <sheetName val="beam-reinft-machine_rm53"/>
      <sheetName val="TBAL9697_-group_wise__sdpl52"/>
      <sheetName val="beam-reinft-IIInd_floor52"/>
      <sheetName val="III_floor_beam_addl52"/>
      <sheetName val="beam-reinft-mezzanine_floor52"/>
      <sheetName val="Shuttering_(2)52"/>
      <sheetName val="beam-reinft-IIInd_floor_(2)52"/>
      <sheetName val="III_floor_beam_addl_(2)52"/>
      <sheetName val="beam-reinft-mezzanine_floor_(61"/>
      <sheetName val="Indices-final_(2)52"/>
      <sheetName val="foot-slab_reinft52"/>
      <sheetName val="beam_reinft_IIInd_floor52"/>
      <sheetName val="beam-reinft-machine_rm52"/>
      <sheetName val="TBAL9697_-group_wise__sdpl51"/>
      <sheetName val="beam-reinft-IIInd_floor55"/>
      <sheetName val="III_floor_beam_addl55"/>
      <sheetName val="beam-reinft-mezzanine_floor55"/>
      <sheetName val="Shuttering_(2)55"/>
      <sheetName val="beam-reinft-IIInd_floor_(2)55"/>
      <sheetName val="III_floor_beam_addl_(2)55"/>
      <sheetName val="beam-reinft-mezzanine_floor_(64"/>
      <sheetName val="Indices-final_(2)55"/>
      <sheetName val="foot-slab_reinft55"/>
      <sheetName val="beam_reinft_IIInd_floor55"/>
      <sheetName val="beam-reinft-machine_rm55"/>
      <sheetName val="TBAL9697_-group_wise__sdpl54"/>
    </sheetNames>
    <sheetDataSet>
      <sheetData sheetId="0"/>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refreshError="1"/>
      <sheetData sheetId="309"/>
      <sheetData sheetId="310" refreshError="1"/>
      <sheetData sheetId="311" refreshError="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refreshError="1"/>
      <sheetData sheetId="328" refreshError="1"/>
      <sheetData sheetId="329"/>
      <sheetData sheetId="330"/>
      <sheetData sheetId="331"/>
      <sheetData sheetId="332"/>
      <sheetData sheetId="333"/>
      <sheetData sheetId="334"/>
      <sheetData sheetId="335"/>
      <sheetData sheetId="336"/>
      <sheetData sheetId="337"/>
      <sheetData sheetId="338"/>
      <sheetData sheetId="339"/>
      <sheetData sheetId="340"/>
      <sheetData sheetId="341" refreshError="1"/>
      <sheetData sheetId="342" refreshError="1"/>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EMD "/>
      <sheetName val="Scrutiny"/>
      <sheetName val="rates"/>
      <sheetName val="A.O.R"/>
      <sheetName val="formwork"/>
      <sheetName val="OH"/>
      <sheetName val="A.O.R."/>
      <sheetName val="pur.tender"/>
      <sheetName val="Sheet1"/>
      <sheetName val="SHEET2"/>
      <sheetName val="SHEET3"/>
      <sheetName val="sheet4"/>
      <sheetName val="AoR Finishing"/>
      <sheetName val="A_O_R_"/>
      <sheetName val="Intro"/>
      <sheetName val="ge"/>
      <sheetName val="Precalculation"/>
      <sheetName val="Boq Block A"/>
      <sheetName val="Consum"/>
      <sheetName val="Item No 16.1 (BBS)"/>
      <sheetName val="Formwork (BGL)"/>
      <sheetName val="Boq"/>
      <sheetName val="B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Tower Crane"/>
      <sheetName val="Passenger Hoist"/>
      <sheetName val="Comp. Statement"/>
      <sheetName val="Commercial terms"/>
      <sheetName val="Summary of reductions"/>
      <sheetName val="Sheet1"/>
      <sheetName val="Scope "/>
      <sheetName val="Encl."/>
      <sheetName val=" P &amp; M for filling"/>
      <sheetName val="EMD Req form"/>
      <sheetName val="Concrete"/>
      <sheetName val="P+M (Final)"/>
      <sheetName val="Boq Consolidated"/>
      <sheetName val="Boq over all"/>
      <sheetName val="Split Up-Over all"/>
      <sheetName val="Split Up"/>
      <sheetName val="Boq Block A"/>
      <sheetName val="RA"/>
      <sheetName val="Std"/>
      <sheetName val="Builk Materials"/>
      <sheetName val="Std- Batching Plant"/>
      <sheetName val="RMC Cost"/>
      <sheetName val="Tender Gist"/>
      <sheetName val="OH"/>
      <sheetName val="TS"/>
      <sheetName val="OH- Over all"/>
      <sheetName val="TS- Over All"/>
      <sheetName val="Cem. Consmption"/>
      <sheetName val="Scaffolding"/>
      <sheetName val="Boq"/>
      <sheetName val="BALAN1"/>
      <sheetName val="Con. Boq"/>
      <sheetName val="Precalculation"/>
      <sheetName val="A.O.R."/>
      <sheetName val="SITE OVERHEADS"/>
      <sheetName val="Detailed Summary (4)"/>
      <sheetName val="DETAILED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factors"/>
      <sheetName val="IO list"/>
      <sheetName val="BMS-Pri"/>
      <sheetName val="p&amp;m"/>
      <sheetName val="Legal Risk Analysis"/>
      <sheetName val="Detail In Door Stad"/>
      <sheetName val="girder"/>
      <sheetName val="IO List 4C08"/>
      <sheetName val="refer"/>
      <sheetName val="Deprec."/>
      <sheetName val="外気負荷"/>
      <sheetName val="sumary"/>
      <sheetName val="Rate Analysis"/>
      <sheetName val="Xenon(R2)"/>
      <sheetName val="7 Hills Abstract"/>
      <sheetName val="Bill 3 - Site Works"/>
      <sheetName val="Basis"/>
      <sheetName val="01"/>
      <sheetName val="Labels"/>
      <sheetName val="3MLKQ"/>
      <sheetName val="Boq"/>
      <sheetName val="2004"/>
      <sheetName val="GR.slab-reinft"/>
      <sheetName val="CONCRETE"/>
      <sheetName val="beam-reinft-IIInd floor"/>
      <sheetName val="Ave.wtd.rates"/>
      <sheetName val="Material "/>
      <sheetName val="Labour &amp; Plant"/>
      <sheetName val="CABLERET"/>
      <sheetName val="Load Details(B2)"/>
      <sheetName val="Design"/>
      <sheetName val="Fee Rate Summary"/>
      <sheetName val="Works - Quote Sheet"/>
      <sheetName val="Assmpns"/>
      <sheetName val="DSLP"/>
      <sheetName val="analysis"/>
      <sheetName val="Gen Info"/>
      <sheetName val="Build-up"/>
      <sheetName val="PRECAST lightconc-II"/>
      <sheetName val="Precalculation"/>
      <sheetName val="SITE OVERHEADS"/>
      <sheetName val="Boq Block A"/>
      <sheetName val="BS1"/>
      <sheetName val="RBFC-BS"/>
      <sheetName val="DG Works (Supply)"/>
      <sheetName val="AutoOpen Stub Data"/>
      <sheetName val="Detail 1A"/>
      <sheetName val="Rate"/>
      <sheetName val="DETAILED  BOQ"/>
      <sheetName val="Data"/>
      <sheetName val="Designs"/>
      <sheetName val="lead"/>
      <sheetName val="Source Ref."/>
      <sheetName val="Parameter"/>
      <sheetName val="1_Project_Profile"/>
      <sheetName val="Assumptions"/>
      <sheetName val="Detail"/>
      <sheetName val="Debits as on 12.04.08"/>
      <sheetName val="IO%20List%204C08.xls"/>
      <sheetName val="grid"/>
      <sheetName val="Costing"/>
      <sheetName val="macros"/>
      <sheetName val="Cashflow projection"/>
      <sheetName val="MTO REV.0"/>
      <sheetName val="u_rate"/>
      <sheetName val="Staff Acco."/>
      <sheetName val="Sheet1"/>
      <sheetName val="CFLOW"/>
      <sheetName val="Control"/>
      <sheetName val="RECAPITULATION"/>
      <sheetName val="basic-data"/>
      <sheetName val="mem-property"/>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1"/>
      <sheetName val="Assumption Inputs"/>
      <sheetName val="SECPROP"/>
      <sheetName val="BOXCULVERT"/>
      <sheetName val="FORM5"/>
      <sheetName val="banilad"/>
      <sheetName val="Mactan"/>
      <sheetName val="Mandaue"/>
      <sheetName val=" IO List"/>
      <sheetName val="Sheet3"/>
      <sheetName val="2gii"/>
      <sheetName val="dBase"/>
      <sheetName val="s"/>
      <sheetName val="IO_list"/>
      <sheetName val="Detail_In_Door_Stad"/>
      <sheetName val="IO_List_4C08"/>
      <sheetName val="Deprec_"/>
      <sheetName val="Ave_wtd_rates"/>
      <sheetName val="Material_"/>
      <sheetName val="Labour_&amp;_Plant"/>
      <sheetName val="Legal_Risk_Analysis"/>
      <sheetName val="Load_Details(B2)"/>
      <sheetName val="Rate_analysis"/>
      <sheetName val="Fee_Rate_Summary"/>
      <sheetName val="Works_-_Quote_Sheet"/>
      <sheetName val="Debits_as_on_12_04_08"/>
      <sheetName val="DETAILED__BOQ"/>
      <sheetName val="IO%20List%204C08_xls"/>
      <sheetName val="PRECAST_lightconc-II"/>
      <sheetName val="Cashflow_projection"/>
      <sheetName val="Bill_3_-_Site_Works"/>
      <sheetName val="Assumption_Inputs"/>
      <sheetName val="MTO_REV_0"/>
      <sheetName val="Staff_Acco_"/>
      <sheetName val="GR_slab-reinft"/>
      <sheetName val="IO_list1"/>
      <sheetName val="Detail_In_Door_Stad1"/>
      <sheetName val="IO_List_4C081"/>
      <sheetName val="Deprec_1"/>
      <sheetName val="Ave_wtd_rates1"/>
      <sheetName val="Material_1"/>
      <sheetName val="Labour_&amp;_Plant1"/>
      <sheetName val="Legal_Risk_Analysis1"/>
      <sheetName val="Load_Details(B2)1"/>
      <sheetName val="Rate_analysis1"/>
      <sheetName val="Fee_Rate_Summary1"/>
      <sheetName val="Works_-_Quote_Sheet1"/>
      <sheetName val="Debits_as_on_12_04_081"/>
      <sheetName val="DETAILED__BOQ1"/>
      <sheetName val="IO%20List%204C08_xls1"/>
      <sheetName val="PRECAST_lightconc-II1"/>
      <sheetName val="Cashflow_projection1"/>
      <sheetName val="Bill_3_-_Site_Works1"/>
      <sheetName val="Assumption_Inputs1"/>
      <sheetName val="MTO_REV_01"/>
      <sheetName val="Staff_Acco_1"/>
      <sheetName val="GR_slab-reinft1"/>
      <sheetName val="IO_list2"/>
      <sheetName val="Detail_In_Door_Stad2"/>
      <sheetName val="IO_List_4C082"/>
      <sheetName val="Deprec_2"/>
      <sheetName val="Ave_wtd_rates2"/>
      <sheetName val="Material_2"/>
      <sheetName val="Labour_&amp;_Plant2"/>
      <sheetName val="Legal_Risk_Analysis2"/>
      <sheetName val="Load_Details(B2)2"/>
      <sheetName val="Rate_analysis2"/>
      <sheetName val="Fee_Rate_Summary2"/>
      <sheetName val="Works_-_Quote_Sheet2"/>
      <sheetName val="Debits_as_on_12_04_082"/>
      <sheetName val="DETAILED__BOQ2"/>
      <sheetName val="IO%20List%204C08_xls2"/>
      <sheetName val="PRECAST_lightconc-II2"/>
      <sheetName val="Cashflow_projection2"/>
      <sheetName val="Bill_3_-_Site_Works2"/>
      <sheetName val="Assumption_Inputs2"/>
      <sheetName val="MTO_REV_02"/>
      <sheetName val="Staff_Acco_2"/>
      <sheetName val="GR_slab-reinft2"/>
      <sheetName val="IO_list3"/>
      <sheetName val="Detail_In_Door_Stad3"/>
      <sheetName val="IO_List_4C083"/>
      <sheetName val="Deprec_3"/>
      <sheetName val="Ave_wtd_rates3"/>
      <sheetName val="Material_3"/>
      <sheetName val="Labour_&amp;_Plant3"/>
      <sheetName val="Legal_Risk_Analysis3"/>
      <sheetName val="Load_Details(B2)3"/>
      <sheetName val="Rate_analysis3"/>
      <sheetName val="Fee_Rate_Summary3"/>
      <sheetName val="Works_-_Quote_Sheet3"/>
      <sheetName val="Debits_as_on_12_04_083"/>
      <sheetName val="DETAILED__BOQ3"/>
      <sheetName val="IO%20List%204C08_xls3"/>
      <sheetName val="PRECAST_lightconc-II3"/>
      <sheetName val="Cashflow_projection3"/>
      <sheetName val="Bill_3_-_Site_Works3"/>
      <sheetName val="Assumption_Inputs3"/>
      <sheetName val="MTO_REV_03"/>
      <sheetName val="Staff_Acco_3"/>
      <sheetName val="GR_slab-reinft3"/>
      <sheetName val="Supplier"/>
      <sheetName val="IO_list4"/>
      <sheetName val="Detail_In_Door_Stad4"/>
      <sheetName val="IO_List_4C084"/>
      <sheetName val="Deprec_4"/>
      <sheetName val="Ave_wtd_rates4"/>
      <sheetName val="Material_4"/>
      <sheetName val="Labour_&amp;_Plant4"/>
      <sheetName val="Legal_Risk_Analysis4"/>
      <sheetName val="Load_Details(B2)4"/>
      <sheetName val="Rate_analysis4"/>
      <sheetName val="Fee_Rate_Summary4"/>
      <sheetName val="Works_-_Quote_Sheet4"/>
      <sheetName val="Debits_as_on_12_04_084"/>
      <sheetName val="DETAILED__BOQ4"/>
      <sheetName val="IO%20List%204C08_xls4"/>
      <sheetName val="PRECAST_lightconc-II4"/>
      <sheetName val="Cashflow_projection4"/>
      <sheetName val="Bill_3_-_Site_Works4"/>
      <sheetName val="Assumption_Inputs4"/>
      <sheetName val="MTO_REV_04"/>
      <sheetName val="Staff_Acco_4"/>
      <sheetName val="GR_slab-reinft4"/>
      <sheetName val="IO_list5"/>
      <sheetName val="Detail_In_Door_Stad5"/>
      <sheetName val="IO_List_4C085"/>
      <sheetName val="Deprec_5"/>
      <sheetName val="Ave_wtd_rates5"/>
      <sheetName val="Material_5"/>
      <sheetName val="Labour_&amp;_Plant5"/>
      <sheetName val="Legal_Risk_Analysis5"/>
      <sheetName val="Load_Details(B2)5"/>
      <sheetName val="Rate_analysis5"/>
      <sheetName val="Fee_Rate_Summary5"/>
      <sheetName val="Works_-_Quote_Sheet5"/>
      <sheetName val="Debits_as_on_12_04_085"/>
      <sheetName val="DETAILED__BOQ5"/>
      <sheetName val="IO%20List%204C08_xls5"/>
      <sheetName val="PRECAST_lightconc-II5"/>
      <sheetName val="Cashflow_projection5"/>
      <sheetName val="Bill_3_-_Site_Works5"/>
      <sheetName val="Assumption_Inputs5"/>
      <sheetName val="MTO_REV_05"/>
      <sheetName val="Staff_Acco_5"/>
      <sheetName val="GR_slab-reinft5"/>
      <sheetName val="IO_list6"/>
      <sheetName val="Detail_In_Door_Stad6"/>
      <sheetName val="IO_List_4C086"/>
      <sheetName val="Deprec_6"/>
      <sheetName val="Ave_wtd_rates6"/>
      <sheetName val="Material_6"/>
      <sheetName val="Labour_&amp;_Plant6"/>
      <sheetName val="Legal_Risk_Analysis6"/>
      <sheetName val="Load_Details(B2)6"/>
      <sheetName val="Rate_analysis6"/>
      <sheetName val="Fee_Rate_Summary6"/>
      <sheetName val="Works_-_Quote_Sheet6"/>
      <sheetName val="Debits_as_on_12_04_086"/>
      <sheetName val="DETAILED__BOQ6"/>
      <sheetName val="IO%20List%204C08_xls6"/>
      <sheetName val="PRECAST_lightconc-II6"/>
      <sheetName val="Cashflow_projection6"/>
      <sheetName val="Bill_3_-_Site_Works6"/>
      <sheetName val="Assumption_Inputs6"/>
      <sheetName val="MTO_REV_06"/>
      <sheetName val="Staff_Acco_6"/>
      <sheetName val="GR_slab-reinft6"/>
      <sheetName val="Footings"/>
      <sheetName val="LoadCapa"/>
      <sheetName val="Cover"/>
      <sheetName val="SCHEDULE"/>
      <sheetName val="Database"/>
      <sheetName val="schedule nos"/>
      <sheetName val="office"/>
      <sheetName val="Lab"/>
      <sheetName val="doq"/>
      <sheetName val="Major Br. Statement"/>
      <sheetName val="PITP3 COPY"/>
      <sheetName val="detail'02"/>
      <sheetName val="C-1"/>
      <sheetName val="C-10"/>
      <sheetName val="C-11"/>
      <sheetName val="C-12"/>
      <sheetName val="C-2"/>
      <sheetName val="C-3"/>
      <sheetName val="C-4"/>
      <sheetName val="C-5"/>
      <sheetName val="C-5A"/>
      <sheetName val="C-6"/>
      <sheetName val="C-6A"/>
      <sheetName val="C-7"/>
      <sheetName val="C-8"/>
      <sheetName val="C-9"/>
      <sheetName val="A.O.R."/>
      <sheetName val="BULook"/>
      <sheetName val="CCTV_EST1"/>
      <sheetName val="Measurment"/>
      <sheetName val="QAQC"/>
      <sheetName val="Filtration1"/>
      <sheetName val="B1_Area Statement"/>
      <sheetName val="TOS-F"/>
      <sheetName val="calcul"/>
      <sheetName val="COLUMN"/>
      <sheetName val="M.R.List (2)"/>
      <sheetName val="FI"/>
      <sheetName val="DISCOUNT"/>
      <sheetName val="Break up Sheet"/>
      <sheetName val="Detailed Summary (4)"/>
      <sheetName val="Sqn-Abs(G+6) "/>
      <sheetName val="WO-Abs (G+2) 6 DUs"/>
      <sheetName val="Air-Abs(G+6) 23 DUs"/>
      <sheetName val="E &amp; R"/>
      <sheetName val="Cashflows"/>
      <sheetName val="Summary"/>
      <sheetName val="Structure Bills Qty"/>
      <sheetName val="brendans areas"/>
      <sheetName val="unmeasured rooms"/>
      <sheetName val="INDIGINEOUS ITEMS "/>
      <sheetName val="IO%20List%204C08"/>
      <sheetName val="공장별판관비배부"/>
      <sheetName val="Trestle Lookup"/>
      <sheetName val="Staff Acco_"/>
      <sheetName val="inWords"/>
      <sheetName val="Material List "/>
      <sheetName val="Enquire"/>
      <sheetName val="BALAN1"/>
      <sheetName val="labour rates"/>
      <sheetName val="見積書"/>
      <sheetName val="purpose&amp;input"/>
      <sheetName val="2002Shipment"/>
      <sheetName val="labour"/>
      <sheetName val="RA-markate"/>
      <sheetName val="Elite 1 - MBCL"/>
      <sheetName val="Mat_Cost"/>
      <sheetName val="BUDGET"/>
      <sheetName val="Bidform"/>
      <sheetName val="Control (In)"/>
      <sheetName val="Anant Raj"/>
      <sheetName val="DLF"/>
      <sheetName val="IBREL"/>
      <sheetName val="HDIL"/>
      <sheetName val="Unitech"/>
      <sheetName val="Ackruti"/>
      <sheetName val="Puravankara"/>
      <sheetName val="Peninsula"/>
      <sheetName val="Sobha"/>
      <sheetName val="Parsvnath"/>
      <sheetName val="Brigade"/>
      <sheetName val="Phoenix"/>
      <sheetName val="Godrej Properties"/>
      <sheetName val="DB Realty"/>
      <sheetName val="Orbit"/>
      <sheetName val="Prestige"/>
      <sheetName val="Jaypee Infratech"/>
      <sheetName val="Oberoi Realty"/>
      <sheetName val="Co V"/>
      <sheetName val="Co W"/>
      <sheetName val="Co X"/>
      <sheetName val="Co Y"/>
      <sheetName val="Mahindra"/>
      <sheetName val="Ansal"/>
      <sheetName val="Co U"/>
      <sheetName val="Workings"/>
      <sheetName val="GUT"/>
      <sheetName val="RateAnalysis"/>
      <sheetName val="TBAL9697 -group wise  sdpl"/>
      <sheetName val="Sheet2"/>
      <sheetName val="Actuals_by_Job"/>
      <sheetName val="Heads_Equiv_QI"/>
      <sheetName val="PT_Heads_SD"/>
      <sheetName val="Month"/>
      <sheetName val="Outlook"/>
      <sheetName val="p-table"/>
      <sheetName val="YTD_Rpt_June"/>
      <sheetName val="MTD_Rpt_June"/>
      <sheetName val="beam-reinft"/>
      <sheetName val="M.S."/>
      <sheetName val="405"/>
      <sheetName val="427"/>
      <sheetName val="403"/>
      <sheetName val="Annex"/>
      <sheetName val="Brand"/>
      <sheetName val="PackSize"/>
      <sheetName val="PackagingType"/>
      <sheetName val="Plant"/>
      <sheetName val="ProductHierarchy"/>
      <sheetName val="PurchGroup"/>
      <sheetName val="Sub-brand"/>
      <sheetName val="UOM"/>
      <sheetName val="Variant"/>
      <sheetName val="April Analysts"/>
      <sheetName val="#REF"/>
      <sheetName val="glsrpt129909e"/>
      <sheetName val="final abstract"/>
      <sheetName val="sheeet7"/>
      <sheetName val="Intro"/>
      <sheetName val="PCS DATA"/>
      <sheetName val="STORM DESIGN STATEMENT"/>
      <sheetName val="Material"/>
      <sheetName val="Guidelines"/>
      <sheetName val="InterCoBala"/>
      <sheetName val="Model"/>
      <sheetName val="CONSTRUCTION COMPONENT"/>
      <sheetName val="Budget in SAP"/>
      <sheetName val="Chennai"/>
      <sheetName val="FORM7"/>
      <sheetName val="Stress Calculation"/>
      <sheetName val="SPT vs PHI"/>
      <sheetName val="월선수금"/>
      <sheetName val="dummy"/>
      <sheetName val="BOQ_Direct_selling cost"/>
      <sheetName val="FitOutConfCentre"/>
      <sheetName val="Fill this out first..."/>
      <sheetName val="Lstsub"/>
      <sheetName val="Beamsked"/>
      <sheetName val="Columnsked"/>
      <sheetName val="Blr hire"/>
      <sheetName val="目录"/>
      <sheetName val="P&amp;L-BDMC"/>
      <sheetName val="Boq (Main Building)"/>
      <sheetName val="1-Pop Proj"/>
      <sheetName val="BOQ Distribution"/>
      <sheetName val="IO_list7"/>
      <sheetName val="IO_List_4C087"/>
      <sheetName val="Detail_In_Door_Stad7"/>
      <sheetName val="Deprec_7"/>
      <sheetName val="Legal_Risk_Analysis7"/>
      <sheetName val="Ave_wtd_rates7"/>
      <sheetName val="Material_7"/>
      <sheetName val="Labour_&amp;_Plant7"/>
      <sheetName val="MTO_REV_07"/>
      <sheetName val="Load_Details(B2)7"/>
      <sheetName val="Debits_as_on_12_04_087"/>
      <sheetName val="Fee_Rate_Summary7"/>
      <sheetName val="Works_-_Quote_Sheet7"/>
      <sheetName val="DETAILED__BOQ7"/>
      <sheetName val="IO%20List%204C08_xls7"/>
      <sheetName val="PRECAST_lightconc-II7"/>
      <sheetName val="Cashflow_projection7"/>
      <sheetName val="Bill_3_-_Site_Works7"/>
      <sheetName val="7_Hills_Abstract"/>
      <sheetName val="Gen_Info"/>
      <sheetName val="Staff_Acco_7"/>
      <sheetName val="SITE_OVERHEADS"/>
      <sheetName val="Boq_Block_A"/>
      <sheetName val="DG_Works_(Supply)"/>
      <sheetName val="AutoOpen_Stub_Data"/>
      <sheetName val="GR_slab-reinft7"/>
      <sheetName val="beam-reinft-IIInd_floor"/>
      <sheetName val="Assumption_Inputs7"/>
      <sheetName val="11B_"/>
      <sheetName val="_IO_List"/>
      <sheetName val="Source_Ref_"/>
      <sheetName val="Staff_Acco_8"/>
      <sheetName val="Detail_1A"/>
      <sheetName val="Major_Br__Statement"/>
      <sheetName val="A_O_R_"/>
      <sheetName val="PITP3_COPY"/>
      <sheetName val="schedule_nos"/>
      <sheetName val="Material_List_"/>
      <sheetName val="Rate_analysis7"/>
      <sheetName val="labour_rates"/>
      <sheetName val="Name_List"/>
      <sheetName val="Basic Resources"/>
      <sheetName val="Config"/>
      <sheetName val="IO_list8"/>
      <sheetName val="IO_List_4C088"/>
      <sheetName val="Detail_In_Door_Stad8"/>
      <sheetName val="Deprec_8"/>
      <sheetName val="Legal_Risk_Analysis8"/>
      <sheetName val="Ave_wtd_rates8"/>
      <sheetName val="Material_8"/>
      <sheetName val="Labour_&amp;_Plant8"/>
      <sheetName val="MTO_REV_08"/>
      <sheetName val="Load_Details(B2)8"/>
      <sheetName val="Debits_as_on_12_04_088"/>
      <sheetName val="Fee_Rate_Summary8"/>
      <sheetName val="Works_-_Quote_Sheet8"/>
      <sheetName val="DETAILED__BOQ8"/>
      <sheetName val="IO%20List%204C08_xls8"/>
      <sheetName val="PRECAST_lightconc-II8"/>
      <sheetName val="Cashflow_projection8"/>
      <sheetName val="Bill_3_-_Site_Works8"/>
      <sheetName val="7_Hills_Abstract1"/>
      <sheetName val="Gen_Info1"/>
      <sheetName val="Staff_Acco_9"/>
      <sheetName val="SITE_OVERHEADS1"/>
      <sheetName val="Boq_Block_A1"/>
      <sheetName val="DG_Works_(Supply)1"/>
      <sheetName val="AutoOpen_Stub_Data1"/>
      <sheetName val="GR_slab-reinft8"/>
      <sheetName val="beam-reinft-IIInd_floor1"/>
      <sheetName val="Assumption_Inputs8"/>
      <sheetName val="11B_1"/>
      <sheetName val="_IO_List1"/>
      <sheetName val="Source_Ref_1"/>
      <sheetName val="Staff_Acco_10"/>
      <sheetName val="Detail_1A1"/>
      <sheetName val="Major_Br__Statement1"/>
      <sheetName val="A_O_R_1"/>
      <sheetName val="PITP3_COPY1"/>
      <sheetName val="schedule_nos1"/>
      <sheetName val="Material_List_1"/>
      <sheetName val="TRIAL BALANCE"/>
      <sheetName val="strain"/>
      <sheetName val="Name List"/>
      <sheetName val="Lowside"/>
      <sheetName val="BRL FORMAT"/>
      <sheetName val="Fin Sum"/>
      <sheetName val="SOLAR FENCE"/>
      <sheetName val="PRSH"/>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refreshError="1"/>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Sheet1"/>
      <sheetName val="HT"/>
      <sheetName val="Staff Acco."/>
      <sheetName val="Tel  "/>
      <sheetName val="Ext.light"/>
      <sheetName val="Staff Acco_"/>
      <sheetName val="Control"/>
      <sheetName val="DETAILED  BOQ"/>
      <sheetName val="refer"/>
      <sheetName val="4 Annex 1 Basic rate"/>
      <sheetName val="strain"/>
      <sheetName val="Design"/>
      <sheetName val="FT-05-02IsoBOM"/>
      <sheetName val="Detail In Door Stad"/>
      <sheetName val="Project Details.."/>
      <sheetName val="factors"/>
      <sheetName val="Load Details(B2)"/>
      <sheetName val="p&amp;m"/>
      <sheetName val="TBAL9697 -group wise  sdpl"/>
      <sheetName val="Build-up"/>
      <sheetName val="RCC,Ret. Wall"/>
      <sheetName val="scurve calc (2)"/>
      <sheetName val="COLUMN"/>
      <sheetName val="PRECAST lightconc-II"/>
      <sheetName val="Legal Risk Analysis"/>
      <sheetName val="SCHEDULE OF RATES"/>
      <sheetName val="Rate Analysis"/>
      <sheetName val="Detail P&amp;L"/>
      <sheetName val="Assumption Sheet"/>
      <sheetName val="Gujrat"/>
      <sheetName val="Bill 3 - Site Works"/>
      <sheetName val="schedule1"/>
      <sheetName val="APPENDIX B-1"/>
      <sheetName val="Bill 3.1"/>
      <sheetName val="CFLOW"/>
      <sheetName val="Precalculation"/>
      <sheetName val="BOQ"/>
      <sheetName val="2gii"/>
      <sheetName val="analysis"/>
      <sheetName val="GR.slab-reinft"/>
      <sheetName val="Fill this out first..."/>
      <sheetName val="Sheet3"/>
      <sheetName val="SCHEDULE (3)"/>
      <sheetName val="Database"/>
      <sheetName val="schedule nos"/>
      <sheetName val="Cable data"/>
      <sheetName val="Table"/>
      <sheetName val="Civil Works"/>
      <sheetName val="INPUT-DATA"/>
      <sheetName val="basic-data"/>
      <sheetName val="mem-property"/>
      <sheetName val="3MLKQ"/>
      <sheetName val="CABLE"/>
      <sheetName val="number"/>
      <sheetName val="ANAL"/>
      <sheetName val="Staff_Acco_"/>
      <sheetName val="Tel__"/>
      <sheetName val="Ext_light"/>
      <sheetName val="Staff_Acco_1"/>
      <sheetName val="estimate"/>
      <sheetName val="Break up Sheet"/>
      <sheetName val="Material "/>
      <sheetName val="FORM7"/>
      <sheetName val="SPT vs PHI"/>
      <sheetName val="DETAILED__BOQ"/>
      <sheetName val="4_Annex_1_Basic_rate"/>
      <sheetName val="Cable_data"/>
      <sheetName val="sumary"/>
      <sheetName val="Xenon(R2)"/>
      <sheetName val="TBAL9697_-group_wise__sdpl"/>
      <sheetName val="Detail_In_Door_Stad"/>
      <sheetName val="Project_Details__"/>
      <sheetName val="RCC,Ret__Wall"/>
      <sheetName val="Legal_Risk_Analysis"/>
      <sheetName val="Load_Details(B2)"/>
      <sheetName val="Detail_P&amp;L"/>
      <sheetName val="Assumption_Sheet"/>
      <sheetName val="scurve_calc_(2)"/>
      <sheetName val="APPENDIX_B-1"/>
      <sheetName val="Bill_3_1"/>
      <sheetName val="PRECAST_lightconc-II"/>
      <sheetName val="SCHEDULE_OF_RATES"/>
      <sheetName val="BLK2"/>
      <sheetName val="BLK3"/>
      <sheetName val="E &amp; R"/>
      <sheetName val="radar"/>
      <sheetName val="UG"/>
      <sheetName val="IO List"/>
      <sheetName val="S1BOQ"/>
      <sheetName val="Input"/>
      <sheetName val="Activity"/>
      <sheetName val="Crew"/>
      <sheetName val="Piping"/>
      <sheetName val="Pipe Supports"/>
      <sheetName val="BOQ (2)"/>
      <sheetName val="#REF"/>
      <sheetName val="RA-markate"/>
      <sheetName val="Costing"/>
      <sheetName val="INDIGINEOUS ITEMS "/>
      <sheetName val="Boq Block A"/>
      <sheetName val="Basement Budget"/>
      <sheetName val="4-Int- ele(RA)"/>
      <sheetName val="DTF Summary"/>
      <sheetName val="BLOCK-A (MEA.SHEET)"/>
      <sheetName val="Sqn_Abs_G_6_ "/>
      <sheetName val="WO_Abs _G_2_ 6 DUs"/>
      <sheetName val="Air_Abs_G_6_ 23 DUs"/>
      <sheetName val="jobhist"/>
      <sheetName val="2004"/>
      <sheetName val="SITE OVERHEADS"/>
      <sheetName val="Detail 1A"/>
      <sheetName val="Parameter"/>
      <sheetName val="1_Project_Profile"/>
      <sheetName val="banilad"/>
      <sheetName val="Mactan"/>
      <sheetName val="Mandaue"/>
      <sheetName val="Asia Revised 10-1-07"/>
      <sheetName val="All Capital Plan P+L 10-1-07"/>
      <sheetName val="CP08 (2)"/>
      <sheetName val="Planning File 10-1-07"/>
      <sheetName val="Box- Girder"/>
      <sheetName val="std"/>
      <sheetName val="BTB"/>
      <sheetName val="cf"/>
      <sheetName val="orders"/>
      <sheetName val="Lease rents"/>
      <sheetName val="DLC lookups"/>
      <sheetName val="CCTV_EST1"/>
      <sheetName val="Quote Sheet"/>
      <sheetName val="labour coeff"/>
      <sheetName val="Works - Quote Sheet"/>
      <sheetName val="Gen Info"/>
      <sheetName val="Indirect expenses"/>
      <sheetName val="Mat_Cost"/>
      <sheetName val="Cost_Any."/>
      <sheetName val="LIST OF MAKES"/>
      <sheetName val="Bed Class"/>
      <sheetName val="Cd"/>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DATA"/>
      <sheetName val="Sheet1"/>
      <sheetName val="Staff Acco."/>
      <sheetName val="TBAL9697 -group wise  sdpl"/>
      <sheetName val="factors"/>
      <sheetName val="Balance works - Direct Cost"/>
      <sheetName val="Expenditure plan"/>
      <sheetName val="from q2"/>
      <sheetName val="#REF!"/>
      <sheetName val="SOR"/>
      <sheetName val="Parameter"/>
      <sheetName val="1_Project_Profile"/>
      <sheetName val="Fill this out fir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3‰AL9697 -group wise  onpl"/>
      <sheetName val=""/>
      <sheetName val="L_Oth Bo"/>
      <sheetName val="Boq"/>
      <sheetName val="Civil Boq"/>
      <sheetName val="PRECAST lightconc-II"/>
      <sheetName val="Staff Acco."/>
      <sheetName val="STEEL"/>
      <sheetName val="p&amp;m"/>
      <sheetName val="Sheet3"/>
      <sheetName val="SITE OVERHEADS"/>
      <sheetName val="Boq Block A"/>
      <sheetName val="PL"/>
      <sheetName val="Project-Material "/>
      <sheetName val="Sheet1"/>
      <sheetName val="1. PayRec"/>
      <sheetName val="sept-plan"/>
      <sheetName val="TBL9798_x0010_DPL03"/>
      <sheetName val="CORPN O_x0000_T"/>
      <sheetName val="ino4t conso,-nov"/>
      <sheetName val="(nout co,sol (2)"/>
      <sheetName val="Blr hire"/>
      <sheetName val="Cashflow projection"/>
      <sheetName val="SPT vs PHI"/>
      <sheetName val="factors"/>
      <sheetName val="key dates"/>
      <sheetName val="Actuals"/>
      <sheetName val="Main-Material"/>
      <sheetName val="DESIGN"/>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St.co.91.5lvl"/>
      <sheetName val="Labour"/>
      <sheetName val="analysis"/>
      <sheetName val="Build-up"/>
      <sheetName val="PRW"/>
      <sheetName val="INPUT SHEET"/>
      <sheetName val="A-General"/>
      <sheetName val="data"/>
      <sheetName val="Sun E Type"/>
      <sheetName val="FORM7"/>
      <sheetName val="PCC"/>
      <sheetName val="G-�"/>
      <sheetName val="3�AL9697 -group wise  onpl"/>
      <sheetName val="目录"/>
      <sheetName val="R2"/>
      <sheetName val="template"/>
      <sheetName val="Fin Sum"/>
      <sheetName val="CORPN O?T"/>
      <sheetName val="Inventory"/>
      <sheetName val="Headings"/>
      <sheetName val="Precalculation"/>
      <sheetName val="Labor abs-NMR"/>
      <sheetName val="CCTV_EST1"/>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gen"/>
      <sheetName val="MAR98"/>
      <sheetName val="환율"/>
      <sheetName val="Input"/>
      <sheetName val="Control"/>
      <sheetName val="TBAL9697 &#10;grotp wise "/>
      <sheetName val="labour coeff"/>
      <sheetName val="beam-reinft"/>
      <sheetName val="Shuttering Analysis"/>
      <sheetName val="General P+M"/>
      <sheetName val="Curing Analysis "/>
      <sheetName val="Concrete P+M ( RMC )"/>
      <sheetName val="P+M ( SMC )"/>
      <sheetName val="P+M -EW"/>
      <sheetName val="Pay_Sep06"/>
      <sheetName val="TBL9798_x005f_x0010_DPL03"/>
      <sheetName val="CORPN O_x005f_x0000_T"/>
      <sheetName val="External"/>
      <sheetName val="SUPPLY -Sanitary Fixtures"/>
      <sheetName val="ITEMS FOR CIVIL TENDER"/>
      <sheetName val="Costing"/>
      <sheetName val="P&amp;L - AD"/>
      <sheetName val="1__PayRec"/>
      <sheetName val="Boq_Block_A"/>
      <sheetName val="Cashflow_projection"/>
      <sheetName val="G_1_obpl_x005f_x005f_x005f_x000b_Wori"/>
      <sheetName val="_x005f_x005f_x005f_x0003_dpl_oth Lia`"/>
      <sheetName val="TBAL9697 _x005f_x005f_x005f_x000d_grotp wis"/>
      <sheetName val="CASHFLOWS"/>
      <sheetName val="Annex"/>
      <sheetName val="CORPN O"/>
      <sheetName val="TBAL9697  grotp wise "/>
      <sheetName val="GBW"/>
      <sheetName val="Fill this out first..."/>
      <sheetName val="LOAD SHEET "/>
      <sheetName val="Fee Rate Summary"/>
      <sheetName val="Name List"/>
      <sheetName val="LIST OF MAKES"/>
      <sheetName val="SILICATE"/>
      <sheetName val="d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factors"/>
      <sheetName val="IO LIST"/>
      <sheetName val="BMS-Pri"/>
      <sheetName val="Sheet3"/>
      <sheetName val="Name List"/>
      <sheetName val="VCH-SLC"/>
      <sheetName val="Supplier"/>
      <sheetName val="Item- Compact"/>
      <sheetName val="Driveway Beams"/>
      <sheetName val="Civil Works"/>
      <sheetName val="RA"/>
      <sheetName val="Labour"/>
      <sheetName val="TBAL9697 -group wise  sdpl"/>
      <sheetName val="Recommended Spares"/>
      <sheetName val="Costing"/>
      <sheetName val="Servers"/>
      <sheetName val="Basement Budget"/>
      <sheetName val="Input"/>
      <sheetName val="Pay_Sep06"/>
      <sheetName val="Sheet1"/>
      <sheetName val="s"/>
      <sheetName val="Pacakges split"/>
      <sheetName val="gen"/>
      <sheetName val="p&amp;m"/>
      <sheetName val="cubes_M20"/>
      <sheetName val="cox"/>
      <sheetName val="cox (2)"/>
      <sheetName val="kings"/>
      <sheetName val="kings (2)"/>
      <sheetName val="Pure Liquid"/>
      <sheetName val="Mitsu"/>
      <sheetName val="Citibank"/>
      <sheetName val="Citibank (2)"/>
      <sheetName val="TCS"/>
      <sheetName val="TCS-REV"/>
      <sheetName val="VSNL"/>
      <sheetName val="VSNL (2)"/>
      <sheetName val="Raheja"/>
      <sheetName val="EMI-548"/>
      <sheetName val="EMI-057"/>
      <sheetName val="EMI-564"/>
      <sheetName val="Barber"/>
      <sheetName val="Cherry"/>
      <sheetName val="Airfreight"/>
      <sheetName val="I.T.C"/>
      <sheetName val="ITC(R-1)"/>
      <sheetName val="Vinod"/>
      <sheetName val="Ruby"/>
      <sheetName val="Ruby (2)"/>
      <sheetName val="Ruby (3)"/>
      <sheetName val="Ruby-191"/>
      <sheetName val="Ruby-286"/>
      <sheetName val="Ruby-416"/>
      <sheetName val="Ruby-231"/>
      <sheetName val="Sona-VSNL"/>
      <sheetName val="IN-VSNL"/>
      <sheetName val="ZYLOG"/>
      <sheetName val="Stenco"/>
      <sheetName val="Signa"/>
      <sheetName val="Spazzio"/>
      <sheetName val="Asian"/>
      <sheetName val="Asian (2)"/>
      <sheetName val="Airport"/>
      <sheetName val="Escorts-621"/>
      <sheetName val="Escorts-621 (R1)"/>
      <sheetName val="Escorts-(031)"/>
      <sheetName val="Escorts-(37)"/>
      <sheetName val="Escorts-(37-1)"/>
      <sheetName val="Escorts-194"/>
      <sheetName val="Escorts-621 (R2)"/>
      <sheetName val="Escorts-189"/>
      <sheetName val="Escorts-189 (R1)"/>
      <sheetName val="Escorts-189 (R2)"/>
      <sheetName val="Escorts-189 (R3)"/>
      <sheetName val="J.C PENNY"/>
      <sheetName val="J.C PENNY (2)"/>
      <sheetName val="J.C P(A)(R-1)"/>
      <sheetName val="J.C P(A)(R-2)"/>
      <sheetName val="J.C P(B)(R-2)"/>
      <sheetName val="J.C P(A)(R-3)"/>
      <sheetName val="J.C P(B)(R-3)"/>
      <sheetName val="metamorphosis"/>
      <sheetName val="sanjay"/>
      <sheetName val="BNP"/>
      <sheetName val="GUJRAT"/>
      <sheetName val="GUJRAT (2)"/>
      <sheetName val="Jaiprakash"/>
      <sheetName val="Jindal"/>
      <sheetName val="Policy"/>
      <sheetName val="parker"/>
      <sheetName val="Goldstone"/>
      <sheetName val="Eternity"/>
      <sheetName val="NDDB"/>
      <sheetName val="NDDB (2)"/>
      <sheetName val="NDDB (3)"/>
      <sheetName val="NDDB (4)"/>
      <sheetName val="GAS"/>
      <sheetName val="PCRA"/>
      <sheetName val="time"/>
      <sheetName val="purple"/>
      <sheetName val="Gherzi"/>
      <sheetName val="Ruby (4)"/>
      <sheetName val="pall"/>
      <sheetName val="pall (2)"/>
      <sheetName val="pall (3)"/>
      <sheetName val="pall (4)"/>
      <sheetName val="pall (5)"/>
      <sheetName val="pall (6)"/>
      <sheetName val="pall (7)"/>
      <sheetName val="pall (8)"/>
      <sheetName val="pall (9)"/>
      <sheetName val="pall (033)"/>
      <sheetName val="PALL-113"/>
      <sheetName val="PALL-113 (R1)"/>
      <sheetName val="PALL-230"/>
      <sheetName val="PALL-256"/>
      <sheetName val="pall-291"/>
      <sheetName val="Data sheet"/>
      <sheetName val="Fin Sum"/>
      <sheetName val="Summary year Plan"/>
      <sheetName val="Civil Boq"/>
      <sheetName val="Package split - Cost"/>
      <sheetName val="URA"/>
      <sheetName val="AOR"/>
      <sheetName val="Digestion"/>
      <sheetName val="Discount"/>
      <sheetName val="COMP"/>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Module5"/>
      <sheetName val="Module4"/>
      <sheetName val="Module3"/>
      <sheetName val="Module7"/>
      <sheetName val="Module6"/>
      <sheetName val="Module8"/>
      <sheetName val="Module9"/>
      <sheetName val="R1"/>
      <sheetName val="R2"/>
      <sheetName val="R3"/>
      <sheetName val="Abstract"/>
      <sheetName val="Module2"/>
      <sheetName val="Module1"/>
      <sheetName val="TBAL9697 -group wise  sdpl"/>
      <sheetName val="URA"/>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C5">
            <v>10974245</v>
          </cell>
        </row>
        <row r="9">
          <cell r="C9">
            <v>0</v>
          </cell>
        </row>
        <row r="13">
          <cell r="C13">
            <v>14460183</v>
          </cell>
        </row>
        <row r="20">
          <cell r="C20">
            <v>0</v>
          </cell>
        </row>
        <row r="21">
          <cell r="H21">
            <v>254635</v>
          </cell>
          <cell r="I21">
            <v>452950.7717912941</v>
          </cell>
        </row>
        <row r="22">
          <cell r="H22">
            <v>2394460</v>
          </cell>
          <cell r="I22">
            <v>2997300.798084151</v>
          </cell>
        </row>
        <row r="23">
          <cell r="H23">
            <v>1836232</v>
          </cell>
          <cell r="I23">
            <v>2177555.3284449545</v>
          </cell>
        </row>
        <row r="24">
          <cell r="H24">
            <v>761300</v>
          </cell>
          <cell r="I24">
            <v>902812.31976413867</v>
          </cell>
        </row>
        <row r="25">
          <cell r="H25">
            <v>917813</v>
          </cell>
          <cell r="I25">
            <v>1360281.0565522658</v>
          </cell>
        </row>
        <row r="26">
          <cell r="H26">
            <v>3255805</v>
          </cell>
          <cell r="I26">
            <v>4521662.4070612621</v>
          </cell>
        </row>
        <row r="27">
          <cell r="H27">
            <v>1554000</v>
          </cell>
          <cell r="I27">
            <v>2047623.7209940185</v>
          </cell>
        </row>
        <row r="39">
          <cell r="F39">
            <v>425</v>
          </cell>
        </row>
        <row r="40">
          <cell r="F40">
            <v>126</v>
          </cell>
        </row>
        <row r="41">
          <cell r="F41">
            <v>50</v>
          </cell>
        </row>
        <row r="42">
          <cell r="F42">
            <v>335</v>
          </cell>
        </row>
        <row r="43">
          <cell r="F43">
            <v>385</v>
          </cell>
        </row>
        <row r="44">
          <cell r="F44">
            <v>1580</v>
          </cell>
        </row>
        <row r="45">
          <cell r="F45">
            <v>1535</v>
          </cell>
        </row>
        <row r="46">
          <cell r="F46">
            <v>1800</v>
          </cell>
        </row>
        <row r="47">
          <cell r="F47">
            <v>1870</v>
          </cell>
        </row>
        <row r="48">
          <cell r="F48">
            <v>2300</v>
          </cell>
        </row>
        <row r="49">
          <cell r="F49">
            <v>175</v>
          </cell>
        </row>
        <row r="50">
          <cell r="F50">
            <v>21710</v>
          </cell>
        </row>
        <row r="51">
          <cell r="F51">
            <v>21710</v>
          </cell>
        </row>
        <row r="52">
          <cell r="F52">
            <v>65800</v>
          </cell>
        </row>
        <row r="53">
          <cell r="F53">
            <v>35000</v>
          </cell>
        </row>
        <row r="54">
          <cell r="F54">
            <v>30000</v>
          </cell>
        </row>
        <row r="55">
          <cell r="F55">
            <v>1000</v>
          </cell>
        </row>
        <row r="56">
          <cell r="F56">
            <v>1600</v>
          </cell>
        </row>
        <row r="57">
          <cell r="F57">
            <v>52</v>
          </cell>
        </row>
        <row r="58">
          <cell r="F58">
            <v>67</v>
          </cell>
        </row>
        <row r="59">
          <cell r="F59">
            <v>50</v>
          </cell>
        </row>
        <row r="60">
          <cell r="F60">
            <v>40</v>
          </cell>
        </row>
        <row r="61">
          <cell r="F61">
            <v>2000</v>
          </cell>
        </row>
        <row r="62">
          <cell r="F62">
            <v>220</v>
          </cell>
        </row>
        <row r="63">
          <cell r="F63">
            <v>450</v>
          </cell>
        </row>
        <row r="64">
          <cell r="F64">
            <v>350</v>
          </cell>
        </row>
        <row r="65">
          <cell r="F65">
            <v>3300</v>
          </cell>
        </row>
        <row r="66">
          <cell r="F66">
            <v>4500</v>
          </cell>
        </row>
        <row r="67">
          <cell r="F67">
            <v>2200</v>
          </cell>
        </row>
        <row r="68">
          <cell r="F68">
            <v>3000</v>
          </cell>
        </row>
        <row r="69">
          <cell r="F69">
            <v>400</v>
          </cell>
        </row>
        <row r="70">
          <cell r="F70">
            <v>250</v>
          </cell>
        </row>
        <row r="71">
          <cell r="F71">
            <v>205</v>
          </cell>
        </row>
        <row r="72">
          <cell r="F72">
            <v>400</v>
          </cell>
        </row>
        <row r="73">
          <cell r="F73">
            <v>400</v>
          </cell>
        </row>
        <row r="74">
          <cell r="F74">
            <v>65</v>
          </cell>
        </row>
        <row r="75">
          <cell r="F75">
            <v>500</v>
          </cell>
        </row>
        <row r="76">
          <cell r="F76">
            <v>200000</v>
          </cell>
        </row>
        <row r="78">
          <cell r="F78">
            <v>96500</v>
          </cell>
        </row>
        <row r="81">
          <cell r="F81">
            <v>350</v>
          </cell>
        </row>
        <row r="82">
          <cell r="F82">
            <v>250</v>
          </cell>
        </row>
        <row r="83">
          <cell r="F83">
            <v>450</v>
          </cell>
        </row>
        <row r="84">
          <cell r="F84">
            <v>4000</v>
          </cell>
        </row>
        <row r="85">
          <cell r="F85">
            <v>125</v>
          </cell>
        </row>
        <row r="86">
          <cell r="F86">
            <v>450</v>
          </cell>
        </row>
        <row r="87">
          <cell r="G87">
            <v>10974245</v>
          </cell>
        </row>
      </sheetData>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nfig"/>
      <sheetName val="Break Dw"/>
      <sheetName val="R2"/>
    </sheetNames>
    <sheetDataSet>
      <sheetData sheetId="0">
        <row r="14">
          <cell r="C14">
            <v>9</v>
          </cell>
        </row>
        <row r="73">
          <cell r="F73">
            <v>3</v>
          </cell>
          <cell r="I73">
            <v>4</v>
          </cell>
          <cell r="L73">
            <v>4</v>
          </cell>
          <cell r="O73">
            <v>0</v>
          </cell>
        </row>
      </sheetData>
      <sheetData sheetId="1">
        <row r="4">
          <cell r="G4">
            <v>0</v>
          </cell>
        </row>
      </sheetData>
      <sheetData sheetId="2"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EMD"/>
      <sheetName val="Scrutiny"/>
      <sheetName val="OH"/>
      <sheetName val="RateList"/>
      <sheetName val="AOR"/>
      <sheetName val="formwork"/>
      <sheetName val="Sheet5"/>
      <sheetName val="Sheet6"/>
      <sheetName val="Sheet7"/>
      <sheetName val="Sheet8"/>
      <sheetName val="Sheet9"/>
      <sheetName val="Sheet10"/>
      <sheetName val="Sheet11"/>
      <sheetName val="Sheet12"/>
      <sheetName val="Sheet13"/>
      <sheetName val="Sheet14"/>
      <sheetName val="Sheet15"/>
      <sheetName val="Sheet16"/>
      <sheetName val="TBAL9697 -group wise  sdpl"/>
      <sheetName val="Fin Sum"/>
      <sheetName val="gen"/>
      <sheetName val="PRECAST lightconc-II"/>
      <sheetName val="환율"/>
      <sheetName val="RA"/>
      <sheetName val="URA"/>
      <sheetName val="Measurment"/>
      <sheetName val="A.O.R."/>
      <sheetName val="R2"/>
      <sheetName val="BOQ"/>
      <sheetName val="Config"/>
      <sheetName val="Break Dw"/>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ASTPCM1"/>
    </sheetNames>
    <definedNames>
      <definedName name="Print" refersTo="='CASTPCM1'!$E$155"/>
    </definedNames>
    <sheetDataSet>
      <sheetData sheetId="0">
        <row r="155">
          <cell r="E155" t="str">
            <v>Print</v>
          </cell>
        </row>
      </sheetData>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Sheet1"/>
      <sheetName val="Synopsys"/>
      <sheetName val="Mat Req Cal"/>
      <sheetName val="Cash flow"/>
      <sheetName val="ANALYSIS"/>
      <sheetName val="BoQ"/>
      <sheetName val="ABST"/>
      <sheetName val="LEad Basic"/>
      <sheetName val="Rates Basic"/>
      <sheetName val="MECH-COST ANALYSIS"/>
      <sheetName val="Density master"/>
      <sheetName val="LOCAL RATES"/>
      <sheetName val="Crusher"/>
      <sheetName val="TRANSPORT ANLYSIS"/>
      <sheetName val="CABLE"/>
      <sheetName val="Intro"/>
      <sheetName val="INPUT"/>
      <sheetName val="number"/>
      <sheetName val="procurement"/>
      <sheetName val="Assmpns"/>
      <sheetName val="PROCTOR"/>
      <sheetName val="Assumptions"/>
      <sheetName val="BOQ-Part1"/>
      <sheetName val="Sheet2"/>
      <sheetName val="col-reinft1"/>
      <sheetName val="Fin Sum"/>
      <sheetName val="loadcal"/>
      <sheetName val="Config"/>
      <sheetName val="Break Dw"/>
      <sheetName val="Data sheet"/>
      <sheetName val="oresreqsum"/>
      <sheetName val="Project Budget Worksheet"/>
      <sheetName val="Name List"/>
      <sheetName val="AOR"/>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E21"/>
      <sheetName val="E22"/>
      <sheetName val="E23"/>
      <sheetName val="E24"/>
      <sheetName val="E25"/>
      <sheetName val="E26"/>
      <sheetName val="E27"/>
      <sheetName val="E28"/>
      <sheetName val="E29"/>
      <sheetName val="E30"/>
      <sheetName val="E31"/>
      <sheetName val="E32"/>
      <sheetName val="E33"/>
      <sheetName val="E35"/>
      <sheetName val="Civil Works"/>
      <sheetName val="TBAL9697 -group wise  sdpl"/>
      <sheetName val="basic-data"/>
      <sheetName val="mem-property"/>
      <sheetName val="Civil_Works"/>
      <sheetName val="concrete"/>
      <sheetName val="beam-reinft-IIInd floor"/>
      <sheetName val="pilecap"/>
      <sheetName val="gen"/>
      <sheetName val="Factors"/>
      <sheetName val="RATE ANALYSIS HYDRAULIC 17-03-2"/>
      <sheetName val="환율"/>
      <sheetName val="Staff Acco."/>
      <sheetName val="Name List"/>
      <sheetName val="Config"/>
      <sheetName val="Break Dw"/>
      <sheetName val="Summary_Bank"/>
      <sheetName val="refer"/>
      <sheetName val="cables - Warmshell"/>
      <sheetName val="CCTV_EST1"/>
      <sheetName val="zone-8"/>
      <sheetName val="MHNO_LEV"/>
      <sheetName val="Fin Sum"/>
      <sheetName val="key dates"/>
      <sheetName val="Actuals"/>
      <sheetName val="GR.slab-reinft"/>
      <sheetName val="Rates Basic"/>
      <sheetName val="OHT_Abs"/>
      <sheetName val="analysis"/>
      <sheetName val="Material "/>
      <sheetName val="Labour _ Pla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D"/>
      <sheetName val="Cable schedule"/>
      <sheetName val="Cable qty"/>
    </sheetNames>
    <sheetDataSet>
      <sheetData sheetId="0">
        <row r="3">
          <cell r="B3" t="str">
            <v>1.1kV Grade, 1Cx4Sqmm Ar, Al.</v>
          </cell>
        </row>
        <row r="4">
          <cell r="B4" t="str">
            <v>1.1kV Grade, 1Cx6Sqmm Ar, Al.</v>
          </cell>
        </row>
        <row r="5">
          <cell r="B5" t="str">
            <v>1.1kV Grade, 1Cx10Sqmm Ar, Al.</v>
          </cell>
        </row>
        <row r="6">
          <cell r="B6" t="str">
            <v>1.1kV Grade, 1Cx16Sqmm Ar, Al.</v>
          </cell>
        </row>
        <row r="7">
          <cell r="B7" t="str">
            <v>1.1kV Grade, 1Cx25Sqmm Ar, Al.</v>
          </cell>
        </row>
        <row r="8">
          <cell r="B8" t="str">
            <v>1.1kV Grade, 1Cx35Sqmm Ar, Al.</v>
          </cell>
        </row>
        <row r="9">
          <cell r="B9" t="str">
            <v>1.1kV Grade, 1Cx50Sqmm Ar, Al.</v>
          </cell>
        </row>
        <row r="10">
          <cell r="B10" t="str">
            <v>1.1kV Grade, 1Cx70Sqmm Ar, Al.</v>
          </cell>
        </row>
        <row r="11">
          <cell r="B11" t="str">
            <v>1.1kV Grade, 1Cx95Sqmm Ar, Al.</v>
          </cell>
        </row>
        <row r="12">
          <cell r="B12" t="str">
            <v>1.1kV Grade, 1Cx120Sqmm Ar, Al.</v>
          </cell>
        </row>
        <row r="13">
          <cell r="B13" t="str">
            <v>1.1kV Grade, 1Cx150Sqmm Ar, Al.</v>
          </cell>
        </row>
        <row r="14">
          <cell r="B14" t="str">
            <v>1.1kV Grade, 1Cx185Sqmm Ar, Al.</v>
          </cell>
        </row>
        <row r="15">
          <cell r="B15" t="str">
            <v>1.1kV Grade, 1Cx240Sqmm Ar, Al.</v>
          </cell>
        </row>
        <row r="16">
          <cell r="B16" t="str">
            <v>1.1kV Grade, 1Cx300Sqmm Ar, Al.</v>
          </cell>
        </row>
        <row r="17">
          <cell r="B17" t="str">
            <v>1.1kV Grade, 1Cx400Sqmm Ar, Al.</v>
          </cell>
        </row>
        <row r="18">
          <cell r="B18" t="str">
            <v>1.1kV Grade, 1Cx500Sqmm Ar, Al.</v>
          </cell>
        </row>
        <row r="19">
          <cell r="B19" t="str">
            <v>1.1kV Grade, 1Cx630Sqmm Ar, Al.</v>
          </cell>
        </row>
        <row r="20">
          <cell r="B20" t="str">
            <v>1.1kV Grade, 1Cx800Sqmm Ar, Al.</v>
          </cell>
        </row>
        <row r="21">
          <cell r="B21" t="str">
            <v>1.1kV Grade, 1Cx1000Sqmm Ar, Al.</v>
          </cell>
        </row>
        <row r="22">
          <cell r="B22" t="str">
            <v/>
          </cell>
        </row>
        <row r="23">
          <cell r="B23" t="str">
            <v>1.1kV Grade, 2Cx1.5Sqmm Ar, Cu</v>
          </cell>
        </row>
        <row r="24">
          <cell r="B24" t="str">
            <v>1.1kV Grade, 2Cx2.5Sqmm Ar, Cu</v>
          </cell>
        </row>
        <row r="25">
          <cell r="B25" t="str">
            <v>1.1kV Grade, 2Cx4Sqmm Ar, Al.</v>
          </cell>
        </row>
        <row r="26">
          <cell r="B26" t="str">
            <v>1.1kV Grade, 2Cx6Sqmm Ar, Al.</v>
          </cell>
        </row>
        <row r="27">
          <cell r="B27" t="str">
            <v>1.1kV Grade, 2Cx10Sqmm Ar, Al.</v>
          </cell>
        </row>
        <row r="28">
          <cell r="B28" t="str">
            <v>1.1kV Grade, 2Cx16Sqmm Ar, Al.</v>
          </cell>
        </row>
        <row r="29">
          <cell r="B29" t="str">
            <v>1.1kV Grade, 2Cx25Sqmm Ar, Al.</v>
          </cell>
        </row>
        <row r="30">
          <cell r="B30" t="str">
            <v>1.1kV Grade, 2Cx35Sqmm Ar, Al.</v>
          </cell>
        </row>
        <row r="31">
          <cell r="B31" t="str">
            <v>1.1kV Grade, 2Cx50Sqmm Ar, Al.</v>
          </cell>
        </row>
        <row r="32">
          <cell r="B32" t="str">
            <v/>
          </cell>
        </row>
        <row r="33">
          <cell r="B33" t="str">
            <v>1.1kV Grade, 3Cx1.5Sqmm Ar, Cu</v>
          </cell>
        </row>
        <row r="34">
          <cell r="B34" t="str">
            <v>1.1kV Grade, 3Cx2.5Sqmm Ar, Cu</v>
          </cell>
        </row>
        <row r="35">
          <cell r="B35" t="str">
            <v>1.1kV Grade, 3Cx4Sqmm Ar, Al.</v>
          </cell>
        </row>
        <row r="36">
          <cell r="B36" t="str">
            <v>1.1kV Grade, 3Cx6Sqmm Ar, Al.</v>
          </cell>
        </row>
        <row r="37">
          <cell r="B37" t="str">
            <v>1.1kV Grade, 3Cx10Sqmm Ar, Al.</v>
          </cell>
        </row>
        <row r="38">
          <cell r="B38" t="str">
            <v>1.1kV Grade, 3Cx16Sqmm Ar, Al.</v>
          </cell>
        </row>
        <row r="39">
          <cell r="B39" t="str">
            <v>1.1kV Grade, 3Cx25Sqmm Ar, Al.</v>
          </cell>
        </row>
        <row r="40">
          <cell r="B40" t="str">
            <v>1.1kV Grade, 3Cx35Sqmm Ar, Al.</v>
          </cell>
        </row>
        <row r="41">
          <cell r="B41" t="str">
            <v>1.1kV Grade, 3Cx50Sqmm Ar, Al.</v>
          </cell>
        </row>
        <row r="42">
          <cell r="B42" t="str">
            <v>1.1kV Grade, 3Cx70Sqmm Ar, Al.</v>
          </cell>
        </row>
        <row r="43">
          <cell r="B43" t="str">
            <v>1.1kV Grade, 3Cx95Sqmm Ar, Al.</v>
          </cell>
        </row>
        <row r="44">
          <cell r="B44" t="str">
            <v>1.1kV Grade, 3Cx120Sqmm Ar, Al.</v>
          </cell>
        </row>
        <row r="45">
          <cell r="B45" t="str">
            <v>1.1kV Grade, 3Cx150Sqmm Ar, Al.</v>
          </cell>
        </row>
        <row r="46">
          <cell r="B46" t="str">
            <v>1.1kV Grade, 3Cx185Sqmm Ar, Al.</v>
          </cell>
        </row>
        <row r="47">
          <cell r="B47" t="str">
            <v>1.1kV Grade, 3Cx240Sqmm Ar, Al.</v>
          </cell>
        </row>
        <row r="48">
          <cell r="B48" t="str">
            <v>1.1kV Grade, 3Cx300Sqmm Ar, Al.</v>
          </cell>
        </row>
        <row r="49">
          <cell r="B49" t="str">
            <v>1.1kV Grade, 3Cx400Sqmm Ar, Al.</v>
          </cell>
        </row>
        <row r="50">
          <cell r="B50" t="str">
            <v>1.1kV Grade, 3Cx500Sqmm Ar, Al.</v>
          </cell>
        </row>
        <row r="51">
          <cell r="B51" t="str">
            <v/>
          </cell>
        </row>
        <row r="52">
          <cell r="B52" t="str">
            <v>1.1kV Grade, 3.5Cx25Sqmm Ar, Al.</v>
          </cell>
        </row>
        <row r="53">
          <cell r="B53" t="str">
            <v>1.1kV Grade, 3.5Cx35Sqmm Ar, Al.</v>
          </cell>
        </row>
        <row r="54">
          <cell r="B54" t="str">
            <v>1.1kV Grade, 3.5Cx50Sqmm Ar, Al.</v>
          </cell>
        </row>
        <row r="55">
          <cell r="B55" t="str">
            <v>1.1kV Grade, 3.5Cx70Sqmm Ar, Al.</v>
          </cell>
        </row>
        <row r="56">
          <cell r="B56" t="str">
            <v>1.1kV Grade, 3.5Cx95Sqmm Ar, Al.</v>
          </cell>
        </row>
        <row r="57">
          <cell r="B57" t="str">
            <v>1.1kV Grade, 3.5Cx120Sqmm Ar, Al.</v>
          </cell>
        </row>
        <row r="58">
          <cell r="B58" t="str">
            <v>1.1kV Grade, 3.5Cx150Sqmm Ar, Al.</v>
          </cell>
        </row>
        <row r="59">
          <cell r="B59" t="str">
            <v>1.1kV Grade, 3.5Cx185Sqmm Ar, Al.</v>
          </cell>
        </row>
        <row r="60">
          <cell r="B60" t="str">
            <v>1.1kV Grade, 3.5Cx240Sqmm Ar, Al.</v>
          </cell>
        </row>
        <row r="61">
          <cell r="B61" t="str">
            <v>1.1kV Grade, 3.5Cx300Sqmm Ar, Al.</v>
          </cell>
        </row>
        <row r="62">
          <cell r="B62" t="str">
            <v>1.1kV Grade, 3.5Cx400Sqmm Ar, Al.</v>
          </cell>
        </row>
        <row r="63">
          <cell r="B63" t="str">
            <v>1.1kV Grade, 3.5Cx500Sqmm Ar, Al.</v>
          </cell>
        </row>
        <row r="65">
          <cell r="B65" t="str">
            <v>1.1kV Grade, 4Cx1.5Sqmm Ar, Cu</v>
          </cell>
        </row>
        <row r="66">
          <cell r="B66" t="str">
            <v>1.1kV Grade, 4Cx2.5Sqmm Ar, Cu</v>
          </cell>
        </row>
        <row r="67">
          <cell r="B67" t="str">
            <v>1.1kV Grade, 4Cx4Sqmm Ar, Al.</v>
          </cell>
        </row>
        <row r="68">
          <cell r="B68" t="str">
            <v>1.1kV Grade, 4Cx6Sqmm Ar, Al.</v>
          </cell>
        </row>
        <row r="69">
          <cell r="B69" t="str">
            <v>1.1kV Grade, 4Cx10Sqmm Ar, Al.</v>
          </cell>
        </row>
        <row r="70">
          <cell r="B70" t="str">
            <v>1.1kV Grade, 4Cx16Sqmm Ar, Al.</v>
          </cell>
        </row>
        <row r="71">
          <cell r="B71" t="str">
            <v>1.1kV Grade, 4Cx25Sqmm Ar, Al.</v>
          </cell>
        </row>
        <row r="72">
          <cell r="B72" t="str">
            <v>1.1kV Grade, 4Cx35Sqmm Ar, Al.</v>
          </cell>
        </row>
        <row r="73">
          <cell r="B73" t="str">
            <v>1.1kV Grade, 4Cx50Sqmm Ar, Al.</v>
          </cell>
        </row>
        <row r="74">
          <cell r="B74" t="str">
            <v/>
          </cell>
        </row>
      </sheetData>
      <sheetData sheetId="1" refreshError="1"/>
      <sheetData sheetId="2"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D"/>
      <sheetName val="Cable schedule"/>
      <sheetName val="Cable qty"/>
    </sheetNames>
    <sheetDataSet>
      <sheetData sheetId="0">
        <row r="3">
          <cell r="B3" t="str">
            <v>1.1kV Grade, 1Cx4Sqmm Ar, Al.</v>
          </cell>
        </row>
        <row r="4">
          <cell r="B4" t="str">
            <v>1.1kV Grade, 1Cx6Sqmm Ar, Al.</v>
          </cell>
        </row>
        <row r="5">
          <cell r="B5" t="str">
            <v>1.1kV Grade, 1Cx10Sqmm Ar, Al.</v>
          </cell>
        </row>
        <row r="6">
          <cell r="B6" t="str">
            <v>1.1kV Grade, 1Cx16Sqmm Ar, Al.</v>
          </cell>
        </row>
        <row r="7">
          <cell r="B7" t="str">
            <v>1.1kV Grade, 1Cx25Sqmm Ar, Al.</v>
          </cell>
        </row>
        <row r="8">
          <cell r="B8" t="str">
            <v>1.1kV Grade, 1Cx35Sqmm Ar, Al.</v>
          </cell>
        </row>
        <row r="9">
          <cell r="B9" t="str">
            <v>1.1kV Grade, 1Cx50Sqmm Ar, Al.</v>
          </cell>
        </row>
        <row r="10">
          <cell r="B10" t="str">
            <v>1.1kV Grade, 1Cx70Sqmm Ar, Al.</v>
          </cell>
        </row>
        <row r="11">
          <cell r="B11" t="str">
            <v>1.1kV Grade, 1Cx95Sqmm Ar, Al.</v>
          </cell>
        </row>
        <row r="12">
          <cell r="B12" t="str">
            <v>1.1kV Grade, 1Cx120Sqmm Ar, Al.</v>
          </cell>
        </row>
        <row r="13">
          <cell r="B13" t="str">
            <v>1.1kV Grade, 1Cx150Sqmm Ar, Al.</v>
          </cell>
        </row>
        <row r="14">
          <cell r="B14" t="str">
            <v>1.1kV Grade, 1Cx185Sqmm Ar, Al.</v>
          </cell>
        </row>
        <row r="15">
          <cell r="B15" t="str">
            <v>1.1kV Grade, 1Cx240Sqmm Ar, Al.</v>
          </cell>
        </row>
        <row r="16">
          <cell r="B16" t="str">
            <v>1.1kV Grade, 1Cx300Sqmm Ar, Al.</v>
          </cell>
        </row>
        <row r="17">
          <cell r="B17" t="str">
            <v>1.1kV Grade, 1Cx400Sqmm Ar, Al.</v>
          </cell>
        </row>
        <row r="18">
          <cell r="B18" t="str">
            <v>1.1kV Grade, 1Cx500Sqmm Ar, Al.</v>
          </cell>
        </row>
        <row r="19">
          <cell r="B19" t="str">
            <v>1.1kV Grade, 1Cx630Sqmm Ar, Al.</v>
          </cell>
        </row>
        <row r="20">
          <cell r="B20" t="str">
            <v>1.1kV Grade, 1Cx800Sqmm Ar, Al.</v>
          </cell>
        </row>
        <row r="21">
          <cell r="B21" t="str">
            <v>1.1kV Grade, 1Cx1000Sqmm Ar, Al.</v>
          </cell>
        </row>
        <row r="22">
          <cell r="B22" t="str">
            <v/>
          </cell>
        </row>
        <row r="23">
          <cell r="B23" t="str">
            <v>1.1kV Grade, 2Cx1.5Sqmm Ar, Cu</v>
          </cell>
        </row>
        <row r="24">
          <cell r="B24" t="str">
            <v>1.1kV Grade, 2Cx2.5Sqmm Ar, Cu</v>
          </cell>
        </row>
        <row r="25">
          <cell r="B25" t="str">
            <v>1.1kV Grade, 2Cx4Sqmm Ar, Al.</v>
          </cell>
        </row>
        <row r="26">
          <cell r="B26" t="str">
            <v>1.1kV Grade, 2Cx6Sqmm Ar, Al.</v>
          </cell>
        </row>
        <row r="27">
          <cell r="B27" t="str">
            <v>1.1kV Grade, 2Cx10Sqmm Ar, Al.</v>
          </cell>
        </row>
        <row r="28">
          <cell r="B28" t="str">
            <v>1.1kV Grade, 2Cx16Sqmm Ar, Al.</v>
          </cell>
        </row>
        <row r="29">
          <cell r="B29" t="str">
            <v>1.1kV Grade, 2Cx25Sqmm Ar, Al.</v>
          </cell>
        </row>
        <row r="30">
          <cell r="B30" t="str">
            <v>1.1kV Grade, 2Cx35Sqmm Ar, Al.</v>
          </cell>
        </row>
        <row r="31">
          <cell r="B31" t="str">
            <v>1.1kV Grade, 2Cx50Sqmm Ar, Al.</v>
          </cell>
        </row>
        <row r="32">
          <cell r="B32" t="str">
            <v/>
          </cell>
        </row>
        <row r="33">
          <cell r="B33" t="str">
            <v>1.1kV Grade, 3Cx1.5Sqmm Ar, Cu</v>
          </cell>
        </row>
        <row r="34">
          <cell r="B34" t="str">
            <v>1.1kV Grade, 3Cx2.5Sqmm Ar, Cu</v>
          </cell>
        </row>
        <row r="35">
          <cell r="B35" t="str">
            <v>1.1kV Grade, 3Cx4Sqmm Ar, Al.</v>
          </cell>
        </row>
        <row r="36">
          <cell r="B36" t="str">
            <v>1.1kV Grade, 3Cx6Sqmm Ar, Al.</v>
          </cell>
        </row>
        <row r="37">
          <cell r="B37" t="str">
            <v>1.1kV Grade, 3Cx10Sqmm Ar, Al.</v>
          </cell>
        </row>
        <row r="38">
          <cell r="B38" t="str">
            <v>1.1kV Grade, 3Cx16Sqmm Ar, Al.</v>
          </cell>
        </row>
        <row r="39">
          <cell r="B39" t="str">
            <v>1.1kV Grade, 3Cx25Sqmm Ar, Al.</v>
          </cell>
        </row>
        <row r="40">
          <cell r="B40" t="str">
            <v>1.1kV Grade, 3Cx35Sqmm Ar, Al.</v>
          </cell>
        </row>
        <row r="41">
          <cell r="B41" t="str">
            <v>1.1kV Grade, 3Cx50Sqmm Ar, Al.</v>
          </cell>
        </row>
        <row r="42">
          <cell r="B42" t="str">
            <v>1.1kV Grade, 3Cx70Sqmm Ar, Al.</v>
          </cell>
        </row>
        <row r="43">
          <cell r="B43" t="str">
            <v>1.1kV Grade, 3Cx95Sqmm Ar, Al.</v>
          </cell>
        </row>
        <row r="44">
          <cell r="B44" t="str">
            <v>1.1kV Grade, 3Cx120Sqmm Ar, Al.</v>
          </cell>
        </row>
        <row r="45">
          <cell r="B45" t="str">
            <v>1.1kV Grade, 3Cx150Sqmm Ar, Al.</v>
          </cell>
        </row>
        <row r="46">
          <cell r="B46" t="str">
            <v>1.1kV Grade, 3Cx185Sqmm Ar, Al.</v>
          </cell>
        </row>
        <row r="47">
          <cell r="B47" t="str">
            <v>1.1kV Grade, 3Cx240Sqmm Ar, Al.</v>
          </cell>
        </row>
        <row r="48">
          <cell r="B48" t="str">
            <v>1.1kV Grade, 3Cx300Sqmm Ar, Al.</v>
          </cell>
        </row>
        <row r="49">
          <cell r="B49" t="str">
            <v>1.1kV Grade, 3Cx400Sqmm Ar, Al.</v>
          </cell>
        </row>
        <row r="50">
          <cell r="B50" t="str">
            <v>1.1kV Grade, 3Cx500Sqmm Ar, Al.</v>
          </cell>
        </row>
        <row r="51">
          <cell r="B51" t="str">
            <v/>
          </cell>
        </row>
        <row r="52">
          <cell r="B52" t="str">
            <v>1.1kV Grade, 3.5Cx25Sqmm Ar, Al.</v>
          </cell>
        </row>
        <row r="53">
          <cell r="B53" t="str">
            <v>1.1kV Grade, 3.5Cx35Sqmm Ar, Al.</v>
          </cell>
        </row>
        <row r="54">
          <cell r="B54" t="str">
            <v>1.1kV Grade, 3.5Cx50Sqmm Ar, Al.</v>
          </cell>
        </row>
        <row r="55">
          <cell r="B55" t="str">
            <v>1.1kV Grade, 3.5Cx70Sqmm Ar, Al.</v>
          </cell>
        </row>
        <row r="56">
          <cell r="B56" t="str">
            <v>1.1kV Grade, 3.5Cx95Sqmm Ar, Al.</v>
          </cell>
        </row>
        <row r="57">
          <cell r="B57" t="str">
            <v>1.1kV Grade, 3.5Cx120Sqmm Ar, Al.</v>
          </cell>
        </row>
        <row r="58">
          <cell r="B58" t="str">
            <v>1.1kV Grade, 3.5Cx150Sqmm Ar, Al.</v>
          </cell>
        </row>
        <row r="59">
          <cell r="B59" t="str">
            <v>1.1kV Grade, 3.5Cx185Sqmm Ar, Al.</v>
          </cell>
        </row>
        <row r="60">
          <cell r="B60" t="str">
            <v>1.1kV Grade, 3.5Cx240Sqmm Ar, Al.</v>
          </cell>
        </row>
        <row r="61">
          <cell r="B61" t="str">
            <v>1.1kV Grade, 3.5Cx300Sqmm Ar, Al.</v>
          </cell>
        </row>
        <row r="62">
          <cell r="B62" t="str">
            <v>1.1kV Grade, 3.5Cx400Sqmm Ar, Al.</v>
          </cell>
        </row>
        <row r="63">
          <cell r="B63" t="str">
            <v>1.1kV Grade, 3.5Cx500Sqmm Ar, Al.</v>
          </cell>
        </row>
        <row r="65">
          <cell r="B65" t="str">
            <v>1.1kV Grade, 4Cx1.5Sqmm Ar, Cu</v>
          </cell>
        </row>
        <row r="66">
          <cell r="B66" t="str">
            <v>1.1kV Grade, 4Cx2.5Sqmm Ar, Cu</v>
          </cell>
        </row>
        <row r="67">
          <cell r="B67" t="str">
            <v>1.1kV Grade, 4Cx4Sqmm Ar, Al.</v>
          </cell>
        </row>
        <row r="68">
          <cell r="B68" t="str">
            <v>1.1kV Grade, 4Cx6Sqmm Ar, Al.</v>
          </cell>
        </row>
        <row r="69">
          <cell r="B69" t="str">
            <v>1.1kV Grade, 4Cx10Sqmm Ar, Al.</v>
          </cell>
        </row>
        <row r="70">
          <cell r="B70" t="str">
            <v>1.1kV Grade, 4Cx16Sqmm Ar, Al.</v>
          </cell>
        </row>
        <row r="71">
          <cell r="B71" t="str">
            <v>1.1kV Grade, 4Cx25Sqmm Ar, Al.</v>
          </cell>
        </row>
        <row r="72">
          <cell r="B72" t="str">
            <v>1.1kV Grade, 4Cx35Sqmm Ar, Al.</v>
          </cell>
        </row>
        <row r="73">
          <cell r="B73" t="str">
            <v>1.1kV Grade, 4Cx50Sqmm Ar, Al.</v>
          </cell>
        </row>
        <row r="74">
          <cell r="B74" t="str">
            <v/>
          </cell>
        </row>
      </sheetData>
      <sheetData sheetId="1" refreshError="1"/>
      <sheetData sheetId="2"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TCHPlanM2"/>
      <sheetName val="Sheet1"/>
      <sheetName val="Sheet2"/>
      <sheetName val="Sheet3"/>
      <sheetName val="VCH-SLC"/>
      <sheetName val="Supplier"/>
      <sheetName val="BLK2"/>
      <sheetName val="BLK3"/>
      <sheetName val="E &amp; R"/>
      <sheetName val="radar"/>
      <sheetName val="UG"/>
      <sheetName val="TBAL9697 -group wise  sdpl"/>
      <sheetName val="Name List"/>
      <sheetName val="URA"/>
      <sheetName val="Item- Compact"/>
      <sheetName val="factors"/>
      <sheetName val="Precalculation"/>
      <sheetName val="PRECAST lightconc-II"/>
      <sheetName val="Cleaning &amp; Grubbing"/>
      <sheetName val="Pacakges split"/>
      <sheetName val="Fin Sum"/>
      <sheetName val="RA-markate"/>
      <sheetName val="Data"/>
      <sheetName val="Lead"/>
      <sheetName val="Footings"/>
      <sheetName val="key dates"/>
      <sheetName val="Actuals"/>
      <sheetName val="Labour"/>
      <sheetName val="Material "/>
      <sheetName val="Labour &amp; Plant"/>
      <sheetName val="Pay_Sep06"/>
      <sheetName val="Costing"/>
      <sheetName val="AOR"/>
      <sheetName val="Civil Works"/>
      <sheetName val="Input"/>
      <sheetName val="Staff Acco."/>
      <sheetName val="boq"/>
      <sheetName val="2gii"/>
      <sheetName val="Build-up"/>
      <sheetName val="CFForecast detail"/>
      <sheetName val="Basement Budget"/>
      <sheetName val="Extra Item"/>
      <sheetName val="SOR"/>
      <sheetName val="coa_ramco_168"/>
      <sheetName val="Cashflow projection"/>
      <sheetName val="Fee Rate Summary"/>
      <sheetName val="IO List"/>
      <sheetName val="Stress Calculation"/>
      <sheetName val="Fill this out first..."/>
      <sheetName val="p&amp;m"/>
      <sheetName val="DOOR-WIND"/>
      <sheetName val="CABLE DATA"/>
      <sheetName val="Conc&amp;steel-assets"/>
      <sheetName val="Assumptions"/>
      <sheetName val="Break up Sheet"/>
      <sheetName val="Data sheet"/>
      <sheetName val="loads at base of pier"/>
      <sheetName val="Bill-12"/>
      <sheetName val="Cash Flow"/>
      <sheetName val="Discount"/>
      <sheetName val="Design"/>
      <sheetName val="TBAL9697_-group_wise__sdpl"/>
      <sheetName val="CHN WIP"/>
      <sheetName val="MG"/>
      <sheetName val="Admin"/>
      <sheetName val="Summary_Bank"/>
      <sheetName val="PRELIM5"/>
      <sheetName val="Rates Basic"/>
      <sheetName val="Config"/>
      <sheetName val="Break Dw"/>
      <sheetName val="BOQ -Block A"/>
      <sheetName val="Sheet4"/>
      <sheetName val="COST"/>
      <sheetName val="SPT vs PHI"/>
      <sheetName val="RA"/>
      <sheetName val="ABB"/>
      <sheetName val="GE"/>
      <sheetName val="Ward areas"/>
      <sheetName val="LOCAL RATES"/>
      <sheetName val="labour coeff"/>
      <sheetName val="BOQ-Civil"/>
      <sheetName val="Detail"/>
      <sheetName val="VALIDATIONS"/>
      <sheetName val="BHANDUP"/>
      <sheetName val="analysis"/>
      <sheetName val="#REF"/>
      <sheetName val="S1BOQ"/>
      <sheetName val="Activity"/>
      <sheetName val="Crew"/>
      <sheetName val="Piping"/>
      <sheetName val="Pipe Supports"/>
      <sheetName val="Detail 1A"/>
      <sheetName val="Rate"/>
      <sheetName val="Meas.-Hotel Part"/>
      <sheetName val="GBW"/>
      <sheetName val="BOQ_Direct_selling cost"/>
      <sheetName val="Staff Forecast spread"/>
      <sheetName val="RCC,Ret. Wall"/>
      <sheetName val="환율"/>
      <sheetName val="FINOLEX"/>
      <sheetName val="zone-8"/>
      <sheetName val="MHNO_LEV"/>
      <sheetName val="co_5"/>
      <sheetName val="FreqPlanmar'00"/>
      <sheetName val="zone-2"/>
      <sheetName val="Z1_DATA"/>
      <sheetName val="D2_CO"/>
      <sheetName val="labour rat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BOQ"/>
      <sheetName val="IO LIST"/>
      <sheetName val="DDCest-basis"/>
      <sheetName val="factors"/>
      <sheetName val="TBAL9697 -group wise  sdpl"/>
      <sheetName val="GBW"/>
      <sheetName val="Basement Budget"/>
      <sheetName val="PCS"/>
      <sheetName val="Material "/>
      <sheetName val="Labour &amp; Plant"/>
      <sheetName val="Headings"/>
      <sheetName val="Indices"/>
      <sheetName val="Civil Works"/>
      <sheetName val="beam-reinft"/>
      <sheetName val="预算"/>
      <sheetName val="calcul"/>
      <sheetName val="HPL"/>
      <sheetName val="Data"/>
      <sheetName val="INPUT SHEET"/>
      <sheetName val="RES-PLANNING"/>
      <sheetName val="Extra Item"/>
      <sheetName val="Pay_Sep06"/>
      <sheetName val="F1a-Pile"/>
      <sheetName val="Project Budget Worksheet"/>
      <sheetName val="Voucher"/>
      <sheetName val="Lead"/>
      <sheetName val="Site Dev BOQ"/>
      <sheetName val="strand"/>
      <sheetName val="INTERIOR"/>
      <sheetName val="RCC,Ret. Wall"/>
      <sheetName val="Wordsdata"/>
      <sheetName val="item"/>
      <sheetName val="Masonry"/>
      <sheetName val="master"/>
      <sheetName val="OpRes"/>
      <sheetName val="BOQ_Direct_selling cost"/>
      <sheetName val="Costing"/>
      <sheetName val="Mat_Cost"/>
      <sheetName val="water prop."/>
      <sheetName val="LIST OF MAKES"/>
      <sheetName val="월선수금"/>
      <sheetName val="labour coeff"/>
      <sheetName val="p&amp;m"/>
      <sheetName val="Variables_x"/>
      <sheetName val="Rate Analysis"/>
      <sheetName val="PROG_DATA"/>
      <sheetName val="HEAD"/>
      <sheetName val="Data sheet"/>
      <sheetName val="IO_LIST"/>
      <sheetName val="Detail"/>
      <sheetName val="loadcal"/>
      <sheetName val="Assumptions"/>
      <sheetName val="horizontal"/>
      <sheetName val="Intro"/>
      <sheetName val="CFForecast detail"/>
      <sheetName val="Summary"/>
      <sheetName val="Fill this out first..."/>
      <sheetName val="Sens"/>
      <sheetName val="BASIS -DEC 08"/>
      <sheetName val="INDIGINEOUS ITEMS "/>
      <sheetName val="Estimate"/>
      <sheetName val="IO_LIST1"/>
      <sheetName val="Basement_Budget"/>
      <sheetName val="INPUT_SHEET"/>
      <sheetName val="Material_"/>
      <sheetName val="Labour_&amp;_Plant"/>
      <sheetName val="IO_LIST2"/>
      <sheetName val="Basement_Budget1"/>
      <sheetName val="INPUT_SHEET1"/>
      <sheetName val="Material_1"/>
      <sheetName val="Labour_&amp;_Plant1"/>
      <sheetName val="Sheet2"/>
      <sheetName val="Elnet-IBMS-IOlistBOQ-5103"/>
      <sheetName val="reference"/>
      <sheetName val="Design"/>
      <sheetName val="PHE"/>
      <sheetName val="Basic Rates"/>
      <sheetName val="Fin Sum"/>
      <sheetName val="Input"/>
      <sheetName val="Sump_cal"/>
      <sheetName val="FORM7"/>
      <sheetName val="Cost summary"/>
      <sheetName val="HVAC1"/>
      <sheetName val="SECURITY 1"/>
      <sheetName val="PRECAST lightconc-II"/>
      <sheetName val="電気設備表"/>
      <sheetName val="SILICATE"/>
      <sheetName val="Electrical"/>
      <sheetName val="sqn_ldr_3 Unit_2_"/>
      <sheetName val="OHT_Abs"/>
      <sheetName val="Formula"/>
      <sheetName val="Data base"/>
      <sheetName val="Building 1"/>
      <sheetName val="Centrifugal pumps_cooling tower"/>
      <sheetName val="PRESSURIZATION units"/>
      <sheetName val="BASEMENT VENT _ DUCTED OPTION"/>
      <sheetName val="concrete"/>
      <sheetName val="C form"/>
      <sheetName val="Timesheet"/>
      <sheetName val="Sheet1"/>
      <sheetName val="basic-data"/>
      <sheetName val="mem-property"/>
      <sheetName val="Boq - Flats"/>
      <sheetName val="Cal"/>
      <sheetName val="sheeet7"/>
      <sheetName val="Codes"/>
      <sheetName val="section"/>
      <sheetName val="Assmpns"/>
      <sheetName val="New Construction"/>
      <sheetName val="FACTOR"/>
      <sheetName val="final abstract"/>
      <sheetName val="3. Elemental Summary"/>
      <sheetName val="9. Package split - Cost "/>
      <sheetName val="10. &amp; 11. Rate Code &amp; BQ"/>
      <sheetName val="NEW Main"/>
      <sheetName val="재1"/>
      <sheetName val="INDEX"/>
      <sheetName val="AREAS"/>
      <sheetName val="cubes_M20"/>
      <sheetName val="환율"/>
      <sheetName val="List"/>
      <sheetName val="Cover"/>
      <sheetName val="collections plan 0401"/>
      <sheetName val="M"/>
      <sheetName val="N"/>
      <sheetName val="Break up Sheet"/>
      <sheetName val="Output"/>
      <sheetName val="maing1"/>
      <sheetName val="NPV"/>
      <sheetName val="IO_LIST3"/>
      <sheetName val="Basement_Budget2"/>
      <sheetName val="INPUT_SHEET2"/>
      <sheetName val="water_prop_"/>
      <sheetName val="LIST_OF_MAKES"/>
      <sheetName val="Material_2"/>
      <sheetName val="Labour_&amp;_Plant2"/>
      <sheetName val="Site_Dev_BOQ"/>
      <sheetName val="Extra_Item"/>
      <sheetName val="Project_Budget_Worksheet"/>
      <sheetName val="Civil_Works"/>
      <sheetName val="TBAL9697_-group_wise__sdpl"/>
      <sheetName val="Data_sheet"/>
      <sheetName val="CFForecast_detail"/>
      <sheetName val="Fill_this_out_first___"/>
      <sheetName val="BASIS_-DEC_08"/>
      <sheetName val="RCC,Ret__Wall"/>
      <sheetName val="sqn_ldr_3_Unit_2_"/>
      <sheetName val="INDIGINEOUS_ITEMS_"/>
      <sheetName val="Detailed_Summary_(4)"/>
      <sheetName val="E1.5"/>
      <sheetName val="Macro1"/>
      <sheetName val="Testing"/>
      <sheetName val="BHANDUP"/>
      <sheetName val="RECAPITULATION"/>
      <sheetName val="Labour"/>
      <sheetName val="Aseet1998"/>
      <sheetName val="PC Master List"/>
      <sheetName val="keyword"/>
      <sheetName val="Balustrade"/>
      <sheetName val="HOLIDAY LIST"/>
      <sheetName val="DASH BOARD"/>
      <sheetName val="VALIDATIONS"/>
      <sheetName val="2.civil-RA"/>
      <sheetName val="Sheet3"/>
      <sheetName val="analysis"/>
      <sheetName val="Database"/>
      <sheetName val="SCHEDULE"/>
      <sheetName val="schedule nos"/>
      <sheetName val="Basic_Rates"/>
      <sheetName val="Data_base"/>
      <sheetName val="Fin_Sum"/>
      <sheetName val="labour_coeff"/>
      <sheetName val="Rate_Analysis"/>
      <sheetName val="Cost_summary"/>
      <sheetName val="SECURITY_1"/>
      <sheetName val="PRECAST_lightconc-II"/>
      <sheetName val="Building_1"/>
      <sheetName val="BOQ_Direct_selling_cost"/>
      <sheetName val="Centrifugal_pumps_cooling_tower"/>
      <sheetName val="PRESSURIZATION_units"/>
      <sheetName val="BASEMENT_VENT___DUCTED_OPTION"/>
      <sheetName val="collections_plan_0401"/>
      <sheetName val="IO_LIST5"/>
      <sheetName val="INPUT_SHEET4"/>
      <sheetName val="Basement_Budget4"/>
      <sheetName val="Material_4"/>
      <sheetName val="Labour_&amp;_Plant4"/>
      <sheetName val="Extra_Item2"/>
      <sheetName val="Site_Dev_BOQ2"/>
      <sheetName val="Project_Budget_Worksheet2"/>
      <sheetName val="TBAL9697_-group_wise__sdpl2"/>
      <sheetName val="Civil_Works2"/>
      <sheetName val="water_prop_2"/>
      <sheetName val="Data_sheet2"/>
      <sheetName val="CFForecast_detail2"/>
      <sheetName val="Fill_this_out_first___2"/>
      <sheetName val="LIST_OF_MAKES2"/>
      <sheetName val="BASIS_-DEC_082"/>
      <sheetName val="INDIGINEOUS_ITEMS_2"/>
      <sheetName val="RCC,Ret__Wall2"/>
      <sheetName val="Basic_Rates2"/>
      <sheetName val="Data_base2"/>
      <sheetName val="Fin_Sum2"/>
      <sheetName val="sqn_ldr_3_Unit_2_2"/>
      <sheetName val="labour_coeff2"/>
      <sheetName val="Rate_Analysis2"/>
      <sheetName val="Cost_summary2"/>
      <sheetName val="SECURITY_12"/>
      <sheetName val="PRECAST_lightconc-II2"/>
      <sheetName val="Building_12"/>
      <sheetName val="BOQ_Direct_selling_cost2"/>
      <sheetName val="Centrifugal_pumps_cooling_towe2"/>
      <sheetName val="PRESSURIZATION_units2"/>
      <sheetName val="BASEMENT_VENT___DUCTED_OPTION2"/>
      <sheetName val="collections_plan_04012"/>
      <sheetName val="IO_LIST4"/>
      <sheetName val="INPUT_SHEET3"/>
      <sheetName val="Basement_Budget3"/>
      <sheetName val="Material_3"/>
      <sheetName val="Labour_&amp;_Plant3"/>
      <sheetName val="Extra_Item1"/>
      <sheetName val="Site_Dev_BOQ1"/>
      <sheetName val="Project_Budget_Worksheet1"/>
      <sheetName val="TBAL9697_-group_wise__sdpl1"/>
      <sheetName val="Civil_Works1"/>
      <sheetName val="water_prop_1"/>
      <sheetName val="Data_sheet1"/>
      <sheetName val="CFForecast_detail1"/>
      <sheetName val="Fill_this_out_first___1"/>
      <sheetName val="LIST_OF_MAKES1"/>
      <sheetName val="BASIS_-DEC_081"/>
      <sheetName val="INDIGINEOUS_ITEMS_1"/>
      <sheetName val="RCC,Ret__Wall1"/>
      <sheetName val="Basic_Rates1"/>
      <sheetName val="Data_base1"/>
      <sheetName val="Fin_Sum1"/>
      <sheetName val="sqn_ldr_3_Unit_2_1"/>
      <sheetName val="labour_coeff1"/>
      <sheetName val="Rate_Analysis1"/>
      <sheetName val="Cost_summary1"/>
      <sheetName val="SECURITY_11"/>
      <sheetName val="PRECAST_lightconc-II1"/>
      <sheetName val="Building_11"/>
      <sheetName val="BOQ_Direct_selling_cost1"/>
      <sheetName val="Centrifugal_pumps_cooling_towe1"/>
      <sheetName val="PRESSURIZATION_units1"/>
      <sheetName val="BASEMENT_VENT___DUCTED_OPTION1"/>
      <sheetName val="collections_plan_04011"/>
      <sheetName val="IO_LIST6"/>
      <sheetName val="INPUT_SHEET5"/>
      <sheetName val="Basement_Budget5"/>
      <sheetName val="Material_5"/>
      <sheetName val="Labour_&amp;_Plant5"/>
      <sheetName val="Extra_Item3"/>
      <sheetName val="Site_Dev_BOQ3"/>
      <sheetName val="Project_Budget_Worksheet3"/>
      <sheetName val="TBAL9697_-group_wise__sdpl3"/>
      <sheetName val="Civil_Works3"/>
      <sheetName val="water_prop_3"/>
      <sheetName val="Data_sheet3"/>
      <sheetName val="CFForecast_detail3"/>
      <sheetName val="Fill_this_out_first___3"/>
      <sheetName val="LIST_OF_MAKES3"/>
      <sheetName val="BASIS_-DEC_083"/>
      <sheetName val="INDIGINEOUS_ITEMS_3"/>
      <sheetName val="RCC,Ret__Wall3"/>
      <sheetName val="Basic_Rates3"/>
      <sheetName val="Data_base3"/>
      <sheetName val="Fin_Sum3"/>
      <sheetName val="sqn_ldr_3_Unit_2_3"/>
      <sheetName val="labour_coeff3"/>
      <sheetName val="Rate_Analysis3"/>
      <sheetName val="Cost_summary3"/>
      <sheetName val="SECURITY_13"/>
      <sheetName val="PRECAST_lightconc-II3"/>
      <sheetName val="Building_13"/>
      <sheetName val="BOQ_Direct_selling_cost3"/>
      <sheetName val="Centrifugal_pumps_cooling_towe3"/>
      <sheetName val="PRESSURIZATION_units3"/>
      <sheetName val="BASEMENT_VENT___DUCTED_OPTION3"/>
      <sheetName val="collections_plan_04013"/>
      <sheetName val="IO_LIST7"/>
      <sheetName val="INPUT_SHEET6"/>
      <sheetName val="Basement_Budget6"/>
      <sheetName val="Material_6"/>
      <sheetName val="Labour_&amp;_Plant6"/>
      <sheetName val="Extra_Item4"/>
      <sheetName val="Site_Dev_BOQ4"/>
      <sheetName val="Project_Budget_Worksheet4"/>
      <sheetName val="TBAL9697_-group_wise__sdpl4"/>
      <sheetName val="Civil_Works4"/>
      <sheetName val="water_prop_4"/>
      <sheetName val="Data_sheet4"/>
      <sheetName val="CFForecast_detail4"/>
      <sheetName val="Fill_this_out_first___4"/>
      <sheetName val="LIST_OF_MAKES4"/>
      <sheetName val="BASIS_-DEC_084"/>
      <sheetName val="INDIGINEOUS_ITEMS_4"/>
      <sheetName val="RCC,Ret__Wall4"/>
      <sheetName val="Basic_Rates4"/>
      <sheetName val="Data_base4"/>
      <sheetName val="Fin_Sum4"/>
      <sheetName val="sqn_ldr_3_Unit_2_4"/>
      <sheetName val="labour_coeff4"/>
      <sheetName val="Rate_Analysis4"/>
      <sheetName val="Cost_summary4"/>
      <sheetName val="SECURITY_14"/>
      <sheetName val="PRECAST_lightconc-II4"/>
      <sheetName val="Building_14"/>
      <sheetName val="BOQ_Direct_selling_cost4"/>
      <sheetName val="Centrifugal_pumps_cooling_towe4"/>
      <sheetName val="PRESSURIZATION_units4"/>
      <sheetName val="BASEMENT_VENT___DUCTED_OPTION4"/>
      <sheetName val="collections_plan_04014"/>
      <sheetName val="IO_LIST8"/>
      <sheetName val="INPUT_SHEET7"/>
      <sheetName val="Basement_Budget7"/>
      <sheetName val="Material_7"/>
      <sheetName val="Labour_&amp;_Plant7"/>
      <sheetName val="Extra_Item5"/>
      <sheetName val="Site_Dev_BOQ5"/>
      <sheetName val="Project_Budget_Worksheet5"/>
      <sheetName val="TBAL9697_-group_wise__sdpl5"/>
      <sheetName val="Civil_Works5"/>
      <sheetName val="water_prop_5"/>
      <sheetName val="Data_sheet5"/>
      <sheetName val="CFForecast_detail5"/>
      <sheetName val="Fill_this_out_first___5"/>
      <sheetName val="LIST_OF_MAKES5"/>
      <sheetName val="BASIS_-DEC_085"/>
      <sheetName val="INDIGINEOUS_ITEMS_5"/>
      <sheetName val="RCC,Ret__Wall5"/>
      <sheetName val="Basic_Rates5"/>
      <sheetName val="Data_base5"/>
      <sheetName val="Fin_Sum5"/>
      <sheetName val="sqn_ldr_3_Unit_2_5"/>
      <sheetName val="labour_coeff5"/>
      <sheetName val="Rate_Analysis5"/>
      <sheetName val="Cost_summary5"/>
      <sheetName val="SECURITY_15"/>
      <sheetName val="PRECAST_lightconc-II5"/>
      <sheetName val="Building_15"/>
      <sheetName val="BOQ_Direct_selling_cost5"/>
      <sheetName val="Centrifugal_pumps_cooling_towe5"/>
      <sheetName val="PRESSURIZATION_units5"/>
      <sheetName val="BASEMENT_VENT___DUCTED_OPTION5"/>
      <sheetName val="collections_plan_04015"/>
      <sheetName val="IO_LIST9"/>
      <sheetName val="INPUT_SHEET8"/>
      <sheetName val="Basement_Budget8"/>
      <sheetName val="Material_8"/>
      <sheetName val="Labour_&amp;_Plant8"/>
      <sheetName val="Extra_Item6"/>
      <sheetName val="Site_Dev_BOQ6"/>
      <sheetName val="Project_Budget_Worksheet6"/>
      <sheetName val="TBAL9697_-group_wise__sdpl6"/>
      <sheetName val="Civil_Works6"/>
      <sheetName val="water_prop_6"/>
      <sheetName val="Data_sheet6"/>
      <sheetName val="CFForecast_detail6"/>
      <sheetName val="Fill_this_out_first___6"/>
      <sheetName val="LIST_OF_MAKES6"/>
      <sheetName val="BASIS_-DEC_086"/>
      <sheetName val="INDIGINEOUS_ITEMS_6"/>
      <sheetName val="RCC,Ret__Wall6"/>
      <sheetName val="Basic_Rates6"/>
      <sheetName val="Data_base6"/>
      <sheetName val="Fin_Sum6"/>
      <sheetName val="sqn_ldr_3_Unit_2_6"/>
      <sheetName val="labour_coeff6"/>
      <sheetName val="Rate_Analysis6"/>
      <sheetName val="Cost_summary6"/>
      <sheetName val="SECURITY_16"/>
      <sheetName val="PRECAST_lightconc-II6"/>
      <sheetName val="Building_16"/>
      <sheetName val="BOQ_Direct_selling_cost6"/>
      <sheetName val="Centrifugal_pumps_cooling_towe6"/>
      <sheetName val="PRESSURIZATION_units6"/>
      <sheetName val="BASEMENT_VENT___DUCTED_OPTION6"/>
      <sheetName val="collections_plan_04016"/>
      <sheetName val="IO_LIST10"/>
      <sheetName val="INPUT_SHEET9"/>
      <sheetName val="Basement_Budget9"/>
      <sheetName val="Material_9"/>
      <sheetName val="Labour_&amp;_Plant9"/>
      <sheetName val="Extra_Item7"/>
      <sheetName val="Site_Dev_BOQ7"/>
      <sheetName val="Project_Budget_Worksheet7"/>
      <sheetName val="TBAL9697_-group_wise__sdpl7"/>
      <sheetName val="Civil_Works7"/>
      <sheetName val="water_prop_7"/>
      <sheetName val="Data_sheet7"/>
      <sheetName val="CFForecast_detail7"/>
      <sheetName val="Fill_this_out_first___7"/>
      <sheetName val="LIST_OF_MAKES7"/>
      <sheetName val="BASIS_-DEC_087"/>
      <sheetName val="INDIGINEOUS_ITEMS_7"/>
      <sheetName val="RCC,Ret__Wall7"/>
      <sheetName val="Basic_Rates7"/>
      <sheetName val="Data_base7"/>
      <sheetName val="Fin_Sum7"/>
      <sheetName val="sqn_ldr_3_Unit_2_7"/>
      <sheetName val="labour_coeff7"/>
      <sheetName val="Rate_Analysis7"/>
      <sheetName val="Cost_summary7"/>
      <sheetName val="SECURITY_17"/>
      <sheetName val="PRECAST_lightconc-II7"/>
      <sheetName val="Building_17"/>
      <sheetName val="BOQ_Direct_selling_cost7"/>
      <sheetName val="Centrifugal_pumps_cooling_towe7"/>
      <sheetName val="PRESSURIZATION_units7"/>
      <sheetName val="BASEMENT_VENT___DUCTED_OPTION7"/>
      <sheetName val="collections_plan_04017"/>
      <sheetName val="IO_LIST11"/>
      <sheetName val="INPUT_SHEET10"/>
      <sheetName val="Basement_Budget10"/>
      <sheetName val="Material_10"/>
      <sheetName val="Labour_&amp;_Plant10"/>
      <sheetName val="Extra_Item8"/>
      <sheetName val="Site_Dev_BOQ8"/>
      <sheetName val="Project_Budget_Worksheet8"/>
      <sheetName val="TBAL9697_-group_wise__sdpl8"/>
      <sheetName val="Civil_Works8"/>
      <sheetName val="water_prop_8"/>
      <sheetName val="Data_sheet8"/>
      <sheetName val="CFForecast_detail8"/>
      <sheetName val="Fill_this_out_first___8"/>
      <sheetName val="LIST_OF_MAKES8"/>
      <sheetName val="BASIS_-DEC_088"/>
      <sheetName val="INDIGINEOUS_ITEMS_8"/>
      <sheetName val="RCC,Ret__Wall8"/>
      <sheetName val="Basic_Rates8"/>
      <sheetName val="Data_base8"/>
      <sheetName val="Fin_Sum8"/>
      <sheetName val="sqn_ldr_3_Unit_2_8"/>
      <sheetName val="labour_coeff8"/>
      <sheetName val="Rate_Analysis8"/>
      <sheetName val="Cost_summary8"/>
      <sheetName val="SECURITY_18"/>
      <sheetName val="PRECAST_lightconc-II8"/>
      <sheetName val="Building_18"/>
      <sheetName val="BOQ_Direct_selling_cost8"/>
      <sheetName val="Centrifugal_pumps_cooling_towe8"/>
      <sheetName val="PRESSURIZATION_units8"/>
      <sheetName val="BASEMENT_VENT___DUCTED_OPTION8"/>
      <sheetName val="collections_plan_04018"/>
      <sheetName val="IO_LIST17"/>
      <sheetName val="INPUT_SHEET16"/>
      <sheetName val="Basement_Budget16"/>
      <sheetName val="Material_16"/>
      <sheetName val="Labour_&amp;_Plant16"/>
      <sheetName val="Extra_Item14"/>
      <sheetName val="Site_Dev_BOQ14"/>
      <sheetName val="Project_Budget_Worksheet14"/>
      <sheetName val="TBAL9697_-group_wise__sdpl14"/>
      <sheetName val="Civil_Works14"/>
      <sheetName val="water_prop_14"/>
      <sheetName val="Data_sheet14"/>
      <sheetName val="CFForecast_detail14"/>
      <sheetName val="Fill_this_out_first___14"/>
      <sheetName val="LIST_OF_MAKES14"/>
      <sheetName val="BASIS_-DEC_0814"/>
      <sheetName val="INDIGINEOUS_ITEMS_14"/>
      <sheetName val="RCC,Ret__Wall14"/>
      <sheetName val="Basic_Rates14"/>
      <sheetName val="Data_base14"/>
      <sheetName val="Fin_Sum14"/>
      <sheetName val="sqn_ldr_3_Unit_2_14"/>
      <sheetName val="labour_coeff14"/>
      <sheetName val="Rate_Analysis14"/>
      <sheetName val="Cost_summary14"/>
      <sheetName val="SECURITY_114"/>
      <sheetName val="PRECAST_lightconc-II14"/>
      <sheetName val="Building_114"/>
      <sheetName val="BOQ_Direct_selling_cost14"/>
      <sheetName val="Centrifugal_pumps_cooling_tow14"/>
      <sheetName val="PRESSURIZATION_units14"/>
      <sheetName val="BASEMENT_VENT___DUCTED_OPTION14"/>
      <sheetName val="collections_plan_040114"/>
      <sheetName val="IO_LIST13"/>
      <sheetName val="INPUT_SHEET12"/>
      <sheetName val="Basement_Budget12"/>
      <sheetName val="Material_12"/>
      <sheetName val="Labour_&amp;_Plant12"/>
      <sheetName val="Extra_Item10"/>
      <sheetName val="Site_Dev_BOQ10"/>
      <sheetName val="Project_Budget_Worksheet10"/>
      <sheetName val="TBAL9697_-group_wise__sdpl10"/>
      <sheetName val="Civil_Works10"/>
      <sheetName val="water_prop_10"/>
      <sheetName val="Data_sheet10"/>
      <sheetName val="CFForecast_detail10"/>
      <sheetName val="Fill_this_out_first___10"/>
      <sheetName val="LIST_OF_MAKES10"/>
      <sheetName val="BASIS_-DEC_0810"/>
      <sheetName val="INDIGINEOUS_ITEMS_10"/>
      <sheetName val="RCC,Ret__Wall10"/>
      <sheetName val="Basic_Rates10"/>
      <sheetName val="Data_base10"/>
      <sheetName val="Fin_Sum10"/>
      <sheetName val="sqn_ldr_3_Unit_2_10"/>
      <sheetName val="labour_coeff10"/>
      <sheetName val="Rate_Analysis10"/>
      <sheetName val="Cost_summary10"/>
      <sheetName val="SECURITY_110"/>
      <sheetName val="PRECAST_lightconc-II10"/>
      <sheetName val="Building_110"/>
      <sheetName val="BOQ_Direct_selling_cost10"/>
      <sheetName val="Centrifugal_pumps_cooling_tow10"/>
      <sheetName val="PRESSURIZATION_units10"/>
      <sheetName val="BASEMENT_VENT___DUCTED_OPTION10"/>
      <sheetName val="collections_plan_040110"/>
      <sheetName val="IO_LIST12"/>
      <sheetName val="INPUT_SHEET11"/>
      <sheetName val="Basement_Budget11"/>
      <sheetName val="Material_11"/>
      <sheetName val="Labour_&amp;_Plant11"/>
      <sheetName val="Extra_Item9"/>
      <sheetName val="Site_Dev_BOQ9"/>
      <sheetName val="Project_Budget_Worksheet9"/>
      <sheetName val="TBAL9697_-group_wise__sdpl9"/>
      <sheetName val="Civil_Works9"/>
      <sheetName val="water_prop_9"/>
      <sheetName val="Data_sheet9"/>
      <sheetName val="CFForecast_detail9"/>
      <sheetName val="Fill_this_out_first___9"/>
      <sheetName val="LIST_OF_MAKES9"/>
      <sheetName val="BASIS_-DEC_089"/>
      <sheetName val="INDIGINEOUS_ITEMS_9"/>
      <sheetName val="RCC,Ret__Wall9"/>
      <sheetName val="Basic_Rates9"/>
      <sheetName val="Data_base9"/>
      <sheetName val="Fin_Sum9"/>
      <sheetName val="sqn_ldr_3_Unit_2_9"/>
      <sheetName val="labour_coeff9"/>
      <sheetName val="Rate_Analysis9"/>
      <sheetName val="Cost_summary9"/>
      <sheetName val="SECURITY_19"/>
      <sheetName val="PRECAST_lightconc-II9"/>
      <sheetName val="Building_19"/>
      <sheetName val="BOQ_Direct_selling_cost9"/>
      <sheetName val="Centrifugal_pumps_cooling_towe9"/>
      <sheetName val="PRESSURIZATION_units9"/>
      <sheetName val="BASEMENT_VENT___DUCTED_OPTION9"/>
      <sheetName val="collections_plan_04019"/>
      <sheetName val="IO_LIST14"/>
      <sheetName val="INPUT_SHEET13"/>
      <sheetName val="Basement_Budget13"/>
      <sheetName val="Material_13"/>
      <sheetName val="Labour_&amp;_Plant13"/>
      <sheetName val="Extra_Item11"/>
      <sheetName val="Site_Dev_BOQ11"/>
      <sheetName val="Project_Budget_Worksheet11"/>
      <sheetName val="TBAL9697_-group_wise__sdpl11"/>
      <sheetName val="Civil_Works11"/>
      <sheetName val="water_prop_11"/>
      <sheetName val="Data_sheet11"/>
      <sheetName val="CFForecast_detail11"/>
      <sheetName val="Fill_this_out_first___11"/>
      <sheetName val="LIST_OF_MAKES11"/>
      <sheetName val="BASIS_-DEC_0811"/>
      <sheetName val="INDIGINEOUS_ITEMS_11"/>
      <sheetName val="RCC,Ret__Wall11"/>
      <sheetName val="Basic_Rates11"/>
      <sheetName val="Data_base11"/>
      <sheetName val="Fin_Sum11"/>
      <sheetName val="sqn_ldr_3_Unit_2_11"/>
      <sheetName val="labour_coeff11"/>
      <sheetName val="Rate_Analysis11"/>
      <sheetName val="Cost_summary11"/>
      <sheetName val="SECURITY_111"/>
      <sheetName val="PRECAST_lightconc-II11"/>
      <sheetName val="Building_111"/>
      <sheetName val="BOQ_Direct_selling_cost11"/>
      <sheetName val="Centrifugal_pumps_cooling_tow11"/>
      <sheetName val="PRESSURIZATION_units11"/>
      <sheetName val="BASEMENT_VENT___DUCTED_OPTION11"/>
      <sheetName val="collections_plan_040111"/>
      <sheetName val="IO_LIST15"/>
      <sheetName val="INPUT_SHEET14"/>
      <sheetName val="Basement_Budget14"/>
      <sheetName val="Material_14"/>
      <sheetName val="Labour_&amp;_Plant14"/>
      <sheetName val="Extra_Item12"/>
      <sheetName val="Site_Dev_BOQ12"/>
      <sheetName val="Project_Budget_Worksheet12"/>
      <sheetName val="TBAL9697_-group_wise__sdpl12"/>
      <sheetName val="Civil_Works12"/>
      <sheetName val="water_prop_12"/>
      <sheetName val="Data_sheet12"/>
      <sheetName val="CFForecast_detail12"/>
      <sheetName val="Fill_this_out_first___12"/>
      <sheetName val="LIST_OF_MAKES12"/>
      <sheetName val="BASIS_-DEC_0812"/>
      <sheetName val="INDIGINEOUS_ITEMS_12"/>
      <sheetName val="RCC,Ret__Wall12"/>
      <sheetName val="Basic_Rates12"/>
      <sheetName val="Data_base12"/>
      <sheetName val="Fin_Sum12"/>
      <sheetName val="sqn_ldr_3_Unit_2_12"/>
      <sheetName val="labour_coeff12"/>
      <sheetName val="Rate_Analysis12"/>
      <sheetName val="Cost_summary12"/>
      <sheetName val="SECURITY_112"/>
      <sheetName val="PRECAST_lightconc-II12"/>
      <sheetName val="Building_112"/>
      <sheetName val="BOQ_Direct_selling_cost12"/>
      <sheetName val="Centrifugal_pumps_cooling_tow12"/>
      <sheetName val="PRESSURIZATION_units12"/>
      <sheetName val="BASEMENT_VENT___DUCTED_OPTION12"/>
      <sheetName val="collections_plan_040112"/>
      <sheetName val="IO_LIST16"/>
      <sheetName val="INPUT_SHEET15"/>
      <sheetName val="Basement_Budget15"/>
      <sheetName val="Material_15"/>
      <sheetName val="Labour_&amp;_Plant15"/>
      <sheetName val="Extra_Item13"/>
      <sheetName val="Site_Dev_BOQ13"/>
      <sheetName val="Project_Budget_Worksheet13"/>
      <sheetName val="TBAL9697_-group_wise__sdpl13"/>
      <sheetName val="Civil_Works13"/>
      <sheetName val="water_prop_13"/>
      <sheetName val="Data_sheet13"/>
      <sheetName val="CFForecast_detail13"/>
      <sheetName val="Fill_this_out_first___13"/>
      <sheetName val="LIST_OF_MAKES13"/>
      <sheetName val="BASIS_-DEC_0813"/>
      <sheetName val="INDIGINEOUS_ITEMS_13"/>
      <sheetName val="RCC,Ret__Wall13"/>
      <sheetName val="Basic_Rates13"/>
      <sheetName val="Data_base13"/>
      <sheetName val="Fin_Sum13"/>
      <sheetName val="sqn_ldr_3_Unit_2_13"/>
      <sheetName val="labour_coeff13"/>
      <sheetName val="Rate_Analysis13"/>
      <sheetName val="Cost_summary13"/>
      <sheetName val="SECURITY_113"/>
      <sheetName val="PRECAST_lightconc-II13"/>
      <sheetName val="Building_113"/>
      <sheetName val="BOQ_Direct_selling_cost13"/>
      <sheetName val="Centrifugal_pumps_cooling_tow13"/>
      <sheetName val="PRESSURIZATION_units13"/>
      <sheetName val="BASEMENT_VENT___DUCTED_OPTION13"/>
      <sheetName val="collections_plan_040113"/>
      <sheetName val="IO_LIST23"/>
      <sheetName val="INPUT_SHEET22"/>
      <sheetName val="Basement_Budget22"/>
      <sheetName val="Material_22"/>
      <sheetName val="Labour_&amp;_Plant22"/>
      <sheetName val="Extra_Item20"/>
      <sheetName val="Site_Dev_BOQ20"/>
      <sheetName val="Project_Budget_Worksheet20"/>
      <sheetName val="TBAL9697_-group_wise__sdpl20"/>
      <sheetName val="Civil_Works20"/>
      <sheetName val="water_prop_20"/>
      <sheetName val="Data_sheet20"/>
      <sheetName val="CFForecast_detail20"/>
      <sheetName val="Fill_this_out_first___20"/>
      <sheetName val="LIST_OF_MAKES20"/>
      <sheetName val="BASIS_-DEC_0820"/>
      <sheetName val="INDIGINEOUS_ITEMS_20"/>
      <sheetName val="RCC,Ret__Wall20"/>
      <sheetName val="Basic_Rates20"/>
      <sheetName val="Data_base20"/>
      <sheetName val="Fin_Sum20"/>
      <sheetName val="sqn_ldr_3_Unit_2_20"/>
      <sheetName val="labour_coeff20"/>
      <sheetName val="Rate_Analysis20"/>
      <sheetName val="Cost_summary20"/>
      <sheetName val="SECURITY_120"/>
      <sheetName val="PRECAST_lightconc-II20"/>
      <sheetName val="Building_120"/>
      <sheetName val="BOQ_Direct_selling_cost20"/>
      <sheetName val="Centrifugal_pumps_cooling_tow20"/>
      <sheetName val="PRESSURIZATION_units20"/>
      <sheetName val="BASEMENT_VENT___DUCTED_OPTION20"/>
      <sheetName val="collections_plan_040120"/>
      <sheetName val="IO_LIST18"/>
      <sheetName val="INPUT_SHEET17"/>
      <sheetName val="Basement_Budget17"/>
      <sheetName val="Material_17"/>
      <sheetName val="Labour_&amp;_Plant17"/>
      <sheetName val="Extra_Item15"/>
      <sheetName val="Site_Dev_BOQ15"/>
      <sheetName val="Project_Budget_Worksheet15"/>
      <sheetName val="TBAL9697_-group_wise__sdpl15"/>
      <sheetName val="Civil_Works15"/>
      <sheetName val="water_prop_15"/>
      <sheetName val="Data_sheet15"/>
      <sheetName val="CFForecast_detail15"/>
      <sheetName val="Fill_this_out_first___15"/>
      <sheetName val="LIST_OF_MAKES15"/>
      <sheetName val="BASIS_-DEC_0815"/>
      <sheetName val="INDIGINEOUS_ITEMS_15"/>
      <sheetName val="RCC,Ret__Wall15"/>
      <sheetName val="Basic_Rates15"/>
      <sheetName val="Data_base15"/>
      <sheetName val="Fin_Sum15"/>
      <sheetName val="sqn_ldr_3_Unit_2_15"/>
      <sheetName val="labour_coeff15"/>
      <sheetName val="Rate_Analysis15"/>
      <sheetName val="Cost_summary15"/>
      <sheetName val="SECURITY_115"/>
      <sheetName val="PRECAST_lightconc-II15"/>
      <sheetName val="Building_115"/>
      <sheetName val="BOQ_Direct_selling_cost15"/>
      <sheetName val="Centrifugal_pumps_cooling_tow15"/>
      <sheetName val="PRESSURIZATION_units15"/>
      <sheetName val="BASEMENT_VENT___DUCTED_OPTION15"/>
      <sheetName val="collections_plan_040115"/>
      <sheetName val="IO_LIST19"/>
      <sheetName val="INPUT_SHEET18"/>
      <sheetName val="Basement_Budget18"/>
      <sheetName val="Material_18"/>
      <sheetName val="Labour_&amp;_Plant18"/>
      <sheetName val="Extra_Item16"/>
      <sheetName val="Site_Dev_BOQ16"/>
      <sheetName val="Project_Budget_Worksheet16"/>
      <sheetName val="TBAL9697_-group_wise__sdpl16"/>
      <sheetName val="Civil_Works16"/>
      <sheetName val="water_prop_16"/>
      <sheetName val="Data_sheet16"/>
      <sheetName val="CFForecast_detail16"/>
      <sheetName val="Fill_this_out_first___16"/>
      <sheetName val="LIST_OF_MAKES16"/>
      <sheetName val="BASIS_-DEC_0816"/>
      <sheetName val="INDIGINEOUS_ITEMS_16"/>
      <sheetName val="RCC,Ret__Wall16"/>
      <sheetName val="Basic_Rates16"/>
      <sheetName val="Data_base16"/>
      <sheetName val="Fin_Sum16"/>
      <sheetName val="sqn_ldr_3_Unit_2_16"/>
      <sheetName val="labour_coeff16"/>
      <sheetName val="Rate_Analysis16"/>
      <sheetName val="Cost_summary16"/>
      <sheetName val="SECURITY_116"/>
      <sheetName val="PRECAST_lightconc-II16"/>
      <sheetName val="Building_116"/>
      <sheetName val="BOQ_Direct_selling_cost16"/>
      <sheetName val="Centrifugal_pumps_cooling_tow16"/>
      <sheetName val="PRESSURIZATION_units16"/>
      <sheetName val="BASEMENT_VENT___DUCTED_OPTION16"/>
      <sheetName val="collections_plan_040116"/>
      <sheetName val="IO_LIST20"/>
      <sheetName val="INPUT_SHEET19"/>
      <sheetName val="Basement_Budget19"/>
      <sheetName val="Material_19"/>
      <sheetName val="Labour_&amp;_Plant19"/>
      <sheetName val="Extra_Item17"/>
      <sheetName val="Site_Dev_BOQ17"/>
      <sheetName val="Project_Budget_Worksheet17"/>
      <sheetName val="TBAL9697_-group_wise__sdpl17"/>
      <sheetName val="Civil_Works17"/>
      <sheetName val="water_prop_17"/>
      <sheetName val="Data_sheet17"/>
      <sheetName val="CFForecast_detail17"/>
      <sheetName val="Fill_this_out_first___17"/>
      <sheetName val="LIST_OF_MAKES17"/>
      <sheetName val="BASIS_-DEC_0817"/>
      <sheetName val="INDIGINEOUS_ITEMS_17"/>
      <sheetName val="RCC,Ret__Wall17"/>
      <sheetName val="Basic_Rates17"/>
      <sheetName val="Data_base17"/>
      <sheetName val="Fin_Sum17"/>
      <sheetName val="sqn_ldr_3_Unit_2_17"/>
      <sheetName val="labour_coeff17"/>
      <sheetName val="Rate_Analysis17"/>
      <sheetName val="Cost_summary17"/>
      <sheetName val="SECURITY_117"/>
      <sheetName val="PRECAST_lightconc-II17"/>
      <sheetName val="Building_117"/>
      <sheetName val="BOQ_Direct_selling_cost17"/>
      <sheetName val="Centrifugal_pumps_cooling_tow17"/>
      <sheetName val="PRESSURIZATION_units17"/>
      <sheetName val="BASEMENT_VENT___DUCTED_OPTION17"/>
      <sheetName val="collections_plan_040117"/>
      <sheetName val="IO_LIST21"/>
      <sheetName val="INPUT_SHEET20"/>
      <sheetName val="Basement_Budget20"/>
      <sheetName val="Material_20"/>
      <sheetName val="Labour_&amp;_Plant20"/>
      <sheetName val="Extra_Item18"/>
      <sheetName val="Site_Dev_BOQ18"/>
      <sheetName val="Project_Budget_Worksheet18"/>
      <sheetName val="TBAL9697_-group_wise__sdpl18"/>
      <sheetName val="Civil_Works18"/>
      <sheetName val="water_prop_18"/>
      <sheetName val="Data_sheet18"/>
      <sheetName val="CFForecast_detail18"/>
      <sheetName val="Fill_this_out_first___18"/>
      <sheetName val="LIST_OF_MAKES18"/>
      <sheetName val="BASIS_-DEC_0818"/>
      <sheetName val="INDIGINEOUS_ITEMS_18"/>
      <sheetName val="RCC,Ret__Wall18"/>
      <sheetName val="Basic_Rates18"/>
      <sheetName val="Data_base18"/>
      <sheetName val="Fin_Sum18"/>
      <sheetName val="sqn_ldr_3_Unit_2_18"/>
      <sheetName val="labour_coeff18"/>
      <sheetName val="Rate_Analysis18"/>
      <sheetName val="Cost_summary18"/>
      <sheetName val="SECURITY_118"/>
      <sheetName val="PRECAST_lightconc-II18"/>
      <sheetName val="Building_118"/>
      <sheetName val="BOQ_Direct_selling_cost18"/>
      <sheetName val="Centrifugal_pumps_cooling_tow18"/>
      <sheetName val="PRESSURIZATION_units18"/>
      <sheetName val="BASEMENT_VENT___DUCTED_OPTION18"/>
      <sheetName val="collections_plan_040118"/>
      <sheetName val="IO_LIST22"/>
      <sheetName val="INPUT_SHEET21"/>
      <sheetName val="Basement_Budget21"/>
      <sheetName val="Material_21"/>
      <sheetName val="Labour_&amp;_Plant21"/>
      <sheetName val="Extra_Item19"/>
      <sheetName val="Site_Dev_BOQ19"/>
      <sheetName val="Project_Budget_Worksheet19"/>
      <sheetName val="TBAL9697_-group_wise__sdpl19"/>
      <sheetName val="Civil_Works19"/>
      <sheetName val="water_prop_19"/>
      <sheetName val="Data_sheet19"/>
      <sheetName val="CFForecast_detail19"/>
      <sheetName val="Fill_this_out_first___19"/>
      <sheetName val="LIST_OF_MAKES19"/>
      <sheetName val="BASIS_-DEC_0819"/>
      <sheetName val="INDIGINEOUS_ITEMS_19"/>
      <sheetName val="RCC,Ret__Wall19"/>
      <sheetName val="Basic_Rates19"/>
      <sheetName val="Data_base19"/>
      <sheetName val="Fin_Sum19"/>
      <sheetName val="sqn_ldr_3_Unit_2_19"/>
      <sheetName val="labour_coeff19"/>
      <sheetName val="Rate_Analysis19"/>
      <sheetName val="Cost_summary19"/>
      <sheetName val="SECURITY_119"/>
      <sheetName val="PRECAST_lightconc-II19"/>
      <sheetName val="Building_119"/>
      <sheetName val="BOQ_Direct_selling_cost19"/>
      <sheetName val="Centrifugal_pumps_cooling_tow19"/>
      <sheetName val="PRESSURIZATION_units19"/>
      <sheetName val="BASEMENT_VENT___DUCTED_OPTION19"/>
      <sheetName val="collections_plan_040119"/>
      <sheetName val="IO_LIST24"/>
      <sheetName val="INPUT_SHEET23"/>
      <sheetName val="Basement_Budget23"/>
      <sheetName val="Material_23"/>
      <sheetName val="Labour_&amp;_Plant23"/>
      <sheetName val="Extra_Item21"/>
      <sheetName val="Site_Dev_BOQ21"/>
      <sheetName val="Project_Budget_Worksheet21"/>
      <sheetName val="TBAL9697_-group_wise__sdpl21"/>
      <sheetName val="Civil_Works21"/>
      <sheetName val="water_prop_21"/>
      <sheetName val="Data_sheet21"/>
      <sheetName val="CFForecast_detail21"/>
      <sheetName val="Fill_this_out_first___21"/>
      <sheetName val="LIST_OF_MAKES21"/>
      <sheetName val="BASIS_-DEC_0821"/>
      <sheetName val="INDIGINEOUS_ITEMS_21"/>
      <sheetName val="RCC,Ret__Wall21"/>
      <sheetName val="Basic_Rates21"/>
      <sheetName val="Data_base21"/>
      <sheetName val="Fin_Sum21"/>
      <sheetName val="sqn_ldr_3_Unit_2_21"/>
      <sheetName val="labour_coeff21"/>
      <sheetName val="Rate_Analysis21"/>
      <sheetName val="Cost_summary21"/>
      <sheetName val="SECURITY_121"/>
      <sheetName val="PRECAST_lightconc-II21"/>
      <sheetName val="Building_121"/>
      <sheetName val="BOQ_Direct_selling_cost21"/>
      <sheetName val="Centrifugal_pumps_cooling_tow21"/>
      <sheetName val="PRESSURIZATION_units21"/>
      <sheetName val="BASEMENT_VENT___DUCTED_OPTION21"/>
      <sheetName val="collections_plan_040121"/>
      <sheetName val="IO_LIST25"/>
      <sheetName val="INPUT_SHEET24"/>
      <sheetName val="Basement_Budget24"/>
      <sheetName val="Material_24"/>
      <sheetName val="Labour_&amp;_Plant24"/>
      <sheetName val="Extra_Item22"/>
      <sheetName val="Site_Dev_BOQ22"/>
      <sheetName val="Project_Budget_Worksheet22"/>
      <sheetName val="TBAL9697_-group_wise__sdpl22"/>
      <sheetName val="Civil_Works22"/>
      <sheetName val="water_prop_22"/>
      <sheetName val="Data_sheet22"/>
      <sheetName val="CFForecast_detail22"/>
      <sheetName val="Fill_this_out_first___22"/>
      <sheetName val="LIST_OF_MAKES22"/>
      <sheetName val="BASIS_-DEC_0822"/>
      <sheetName val="INDIGINEOUS_ITEMS_22"/>
      <sheetName val="RCC,Ret__Wall22"/>
      <sheetName val="Basic_Rates22"/>
      <sheetName val="Data_base22"/>
      <sheetName val="Fin_Sum22"/>
      <sheetName val="sqn_ldr_3_Unit_2_22"/>
      <sheetName val="labour_coeff22"/>
      <sheetName val="Rate_Analysis22"/>
      <sheetName val="Cost_summary22"/>
      <sheetName val="SECURITY_122"/>
      <sheetName val="PRECAST_lightconc-II22"/>
      <sheetName val="Building_122"/>
      <sheetName val="BOQ_Direct_selling_cost22"/>
      <sheetName val="Centrifugal_pumps_cooling_tow22"/>
      <sheetName val="PRESSURIZATION_units22"/>
      <sheetName val="BASEMENT_VENT___DUCTED_OPTION22"/>
      <sheetName val="collections_plan_040122"/>
      <sheetName val="SCurv (3)"/>
      <sheetName val="IO_LIST26"/>
      <sheetName val="INPUT_SHEET25"/>
      <sheetName val="Basement_Budget25"/>
      <sheetName val="Material_25"/>
      <sheetName val="Labour_&amp;_Plant25"/>
      <sheetName val="Extra_Item23"/>
      <sheetName val="Site_Dev_BOQ23"/>
      <sheetName val="Project_Budget_Worksheet23"/>
      <sheetName val="TBAL9697_-group_wise__sdpl23"/>
      <sheetName val="Civil_Works23"/>
      <sheetName val="water_prop_23"/>
      <sheetName val="Data_sheet23"/>
      <sheetName val="CFForecast_detail23"/>
      <sheetName val="Fill_this_out_first___23"/>
      <sheetName val="LIST_OF_MAKES23"/>
      <sheetName val="BASIS_-DEC_0823"/>
      <sheetName val="INDIGINEOUS_ITEMS_23"/>
      <sheetName val="RCC,Ret__Wall23"/>
      <sheetName val="Basic_Rates23"/>
      <sheetName val="Data_base23"/>
      <sheetName val="Fin_Sum23"/>
      <sheetName val="sqn_ldr_3_Unit_2_23"/>
      <sheetName val="labour_coeff23"/>
      <sheetName val="Rate_Analysis23"/>
      <sheetName val="Cost_summary23"/>
      <sheetName val="SECURITY_123"/>
      <sheetName val="PRECAST_lightconc-II23"/>
      <sheetName val="Building_123"/>
      <sheetName val="BOQ_Direct_selling_cost23"/>
      <sheetName val="Centrifugal_pumps_cooling_tow23"/>
      <sheetName val="PRESSURIZATION_units23"/>
      <sheetName val="BASEMENT_VENT___DUCTED_OPTION23"/>
      <sheetName val="collections_plan_040123"/>
      <sheetName val="IO_LIST27"/>
      <sheetName val="INPUT_SHEET26"/>
      <sheetName val="Basement_Budget26"/>
      <sheetName val="Material_26"/>
      <sheetName val="Labour_&amp;_Plant26"/>
      <sheetName val="Extra_Item24"/>
      <sheetName val="Site_Dev_BOQ24"/>
      <sheetName val="Project_Budget_Worksheet24"/>
      <sheetName val="TBAL9697_-group_wise__sdpl24"/>
      <sheetName val="Civil_Works24"/>
      <sheetName val="water_prop_24"/>
      <sheetName val="Data_sheet24"/>
      <sheetName val="CFForecast_detail24"/>
      <sheetName val="Fill_this_out_first___24"/>
      <sheetName val="LIST_OF_MAKES24"/>
      <sheetName val="BASIS_-DEC_0824"/>
      <sheetName val="INDIGINEOUS_ITEMS_24"/>
      <sheetName val="RCC,Ret__Wall24"/>
      <sheetName val="Basic_Rates24"/>
      <sheetName val="Data_base24"/>
      <sheetName val="Fin_Sum24"/>
      <sheetName val="sqn_ldr_3_Unit_2_24"/>
      <sheetName val="labour_coeff24"/>
      <sheetName val="Rate_Analysis24"/>
      <sheetName val="Cost_summary24"/>
      <sheetName val="SECURITY_124"/>
      <sheetName val="PRECAST_lightconc-II24"/>
      <sheetName val="Building_124"/>
      <sheetName val="BOQ_Direct_selling_cost24"/>
      <sheetName val="Centrifugal_pumps_cooling_tow24"/>
      <sheetName val="PRESSURIZATION_units24"/>
      <sheetName val="BASEMENT_VENT___DUCTED_OPTION24"/>
      <sheetName val="collections_plan_040124"/>
      <sheetName val="Boq_-_Flats"/>
      <sheetName val="Fin"/>
      <sheetName val="Area"/>
      <sheetName val="General input"/>
      <sheetName val="zone-2"/>
      <sheetName val="I-CO"/>
      <sheetName val="Electrical-Line Items"/>
      <sheetName val="Step 7"/>
      <sheetName val="doq"/>
      <sheetName val="BLKs_C"/>
      <sheetName val="Main-Material"/>
      <sheetName val="Linked Lead"/>
      <sheetName val="Labour productivity"/>
      <sheetName val="Loads"/>
      <sheetName val="Abbreviation"/>
      <sheetName val="Report"/>
      <sheetName val="Hardware"/>
      <sheetName val="Current Bill MB ref"/>
      <sheetName val="ref"/>
      <sheetName val="Dimensions"/>
      <sheetName val="Material&amp;equipment"/>
      <sheetName val="DATA - Summary"/>
      <sheetName val="96수출"/>
      <sheetName val="prsch"/>
      <sheetName val="Überblick"/>
      <sheetName val="一発シート"/>
      <sheetName val="Vehicles"/>
      <sheetName val="PANEL ANNEXURE"/>
      <sheetName val="electr_ work CA "/>
      <sheetName val="labour rates"/>
      <sheetName val="A.O.R (2)"/>
      <sheetName val="PEDESB"/>
      <sheetName val="Substation"/>
      <sheetName val="Comparative at bid opening"/>
      <sheetName val="Background"/>
      <sheetName val="Estimation"/>
      <sheetName val="Raw Data Hours"/>
      <sheetName val="Emp_Data"/>
      <sheetName val="BU"/>
      <sheetName val="Working"/>
      <sheetName val="사진"/>
      <sheetName val="Formulas"/>
      <sheetName val="Quote Sheet"/>
      <sheetName val="Civil Boq"/>
      <sheetName val="appendix A"/>
      <sheetName val="Podium Summary"/>
      <sheetName val="Podium Budgets"/>
      <sheetName val="Deviation"/>
      <sheetName val="Publicbuilding"/>
      <sheetName val="Iocount"/>
      <sheetName val="New_Construction"/>
      <sheetName val="final_abstract"/>
      <sheetName val="3__Elemental_Summary"/>
      <sheetName val="9__Package_split_-_Cost_"/>
      <sheetName val="10__&amp;_11__Rate_Code_&amp;_BQ"/>
      <sheetName val="E1_5"/>
      <sheetName val="C_form"/>
      <sheetName val="NEW_Main"/>
      <sheetName val="PC_Master_List"/>
      <sheetName val="Break_up_Sheet"/>
      <sheetName val="HOLIDAY_LIST"/>
      <sheetName val="DASH_BOARD"/>
      <sheetName val="schedule_nos"/>
      <sheetName val="-"/>
      <sheetName val="GF Columns"/>
      <sheetName val="Tender Summary"/>
      <sheetName val="Construction"/>
      <sheetName val="WORK TABLE"/>
      <sheetName val="Insulation Sheet"/>
      <sheetName val="RA-markate"/>
      <sheetName val="Back filling"/>
      <sheetName val="NT items summary"/>
      <sheetName val="MD&amp;A IT Services - Revenues"/>
      <sheetName val="Item- Compact"/>
      <sheetName val="ABB"/>
      <sheetName val="MA"/>
      <sheetName val="beam-reinft-IIInd floor"/>
      <sheetName val="Variation Request - QS Format"/>
      <sheetName val="LANGUAGE"/>
      <sheetName val="Break_Up"/>
      <sheetName val="Break_Up (bc)"/>
      <sheetName val="Break_Up (bc1)"/>
      <sheetName val="Break_Up (bc2)"/>
      <sheetName val="SEW4"/>
      <sheetName val="FURNITURE"/>
      <sheetName val="prsh"/>
      <sheetName val="Concrete_11_14"/>
      <sheetName val="Concrete_20_23"/>
      <sheetName val="Concrete_25"/>
      <sheetName val="Measurement 26"/>
      <sheetName val="Measurement 27"/>
      <sheetName val="Concrete_28"/>
      <sheetName val="Concrete 30"/>
      <sheetName val="Concrete_31"/>
      <sheetName val="Concrete_32"/>
      <sheetName val="Measurement utility"/>
      <sheetName val="Concrete_34"/>
      <sheetName val="measurement_1_2_3_5_6_8_1"/>
      <sheetName val="Measurement sump"/>
      <sheetName val="Road work"/>
      <sheetName val="Filling_final "/>
      <sheetName val="Additional Items"/>
      <sheetName val="Measur Storm"/>
      <sheetName val="Concrete_10"/>
      <sheetName val="GR.slab-reinft"/>
      <sheetName val="Source Ref."/>
      <sheetName val="AutoOpen Stub Data"/>
      <sheetName val="PLAN_FEB97"/>
      <sheetName val="Jan resp"/>
      <sheetName val="Concrete 26"/>
      <sheetName val="Concrete_27"/>
      <sheetName val="Concrete_33"/>
      <sheetName val="Concrete_1_2_3_5_6_8_1"/>
      <sheetName val="Concrete_37"/>
      <sheetName val="Storm water"/>
      <sheetName val="Abstract Sheet"/>
      <sheetName val="Basic Resources"/>
      <sheetName val="Risk Assessment"/>
      <sheetName val="XL4Poppy"/>
      <sheetName val="Comparative"/>
      <sheetName val="04b_PHE BoQ"/>
      <sheetName val="HVAC"/>
      <sheetName val="Figures in"/>
      <sheetName val="PUMP"/>
      <sheetName val="C"/>
      <sheetName val="L"/>
      <sheetName val="15"/>
      <sheetName val="Leads 08-09"/>
      <sheetName val="Data base Feb 09"/>
      <sheetName val="Sale Master"/>
      <sheetName val="Measurment"/>
      <sheetName val="Legend"/>
      <sheetName val="Detail In Door Stad"/>
      <sheetName val="crews"/>
      <sheetName val="BSMT beam (C &amp; F)"/>
      <sheetName val="LT internal works"/>
      <sheetName val=" "/>
      <sheetName val="dBase"/>
      <sheetName val="CCTV_EST1"/>
      <sheetName val="EMLWorkstations"/>
      <sheetName val="EMLLaptops"/>
      <sheetName val="EMLServers"/>
      <sheetName val="Cash Flow Working"/>
      <sheetName val="site fab&amp;ernstr"/>
      <sheetName val="Base data Security Procedures"/>
      <sheetName val="DetEst"/>
      <sheetName val="fin-city centre"/>
      <sheetName val="Data (adj."/>
      <sheetName val="A"/>
      <sheetName val="Abstract"/>
      <sheetName val="XREF"/>
      <sheetName val="Mini"/>
      <sheetName val="GRAND REKAP"/>
      <sheetName val="Reference Information"/>
      <sheetName val="Employee List"/>
      <sheetName val="Sales Office"/>
      <sheetName val="DMUU Inputs"/>
      <sheetName val="Ire P&amp;L"/>
      <sheetName val="Fr P&amp;L"/>
      <sheetName val="ES P&amp;L"/>
      <sheetName val="GR P&amp;L"/>
      <sheetName val="PT P&amp;L"/>
      <sheetName val="UK P&amp;L"/>
      <sheetName val="X rate"/>
      <sheetName val="Conc&amp;steel-assets"/>
      <sheetName val="Masonary shweta"/>
      <sheetName val="Basis"/>
      <sheetName val="Cashflow - Con"/>
      <sheetName val="Lead (Final)"/>
      <sheetName val="Angebot18.7."/>
      <sheetName val="Master Data Sheet"/>
      <sheetName val="Detail Top Sheet"/>
      <sheetName val="SITE-E"/>
      <sheetName val="外気負荷"/>
      <sheetName val="BOQ Distribution"/>
      <sheetName val="A.O.R."/>
      <sheetName val="Staff"/>
      <sheetName val="DATA_-_Summary"/>
      <sheetName val="SCurv_(3)"/>
      <sheetName val="Civil_Boq"/>
      <sheetName val="WBS"/>
      <sheetName val="IN"/>
      <sheetName val="t_Budget12_x000b_"/>
      <sheetName val="_Recovered_SheetName_469_"/>
      <sheetName val="_Recovered_SheetName_470_"/>
      <sheetName val="_Recovered_SheetName_471_"/>
      <sheetName val="_Recovered_SheetName_472_"/>
      <sheetName val="_Recovered_SheetName_473_"/>
      <sheetName val="_Recovered_SheetName_474_"/>
      <sheetName val="_Recovered_SheetName_475_"/>
      <sheetName val="_Recovered_SheetName_476_"/>
      <sheetName val="_Recovered_SheetName_477_"/>
      <sheetName val="_Recovered_SheetName_478_"/>
      <sheetName val="_Recovered_SheetName_479_"/>
      <sheetName val="_Recovered_SheetName_480_"/>
      <sheetName val="_Recovered_SheetName_481_"/>
      <sheetName val="_Recovered_SheetName_482_"/>
      <sheetName val="_Recovered_SheetName_483_"/>
      <sheetName val="_Recovered_SheetName_484_"/>
      <sheetName val="_Recovered_SheetName_485_"/>
      <sheetName val="_Recovered_SheetName_486_"/>
      <sheetName val="_Recovered_SheetName_487_"/>
      <sheetName val="_Recovered_SheetName_488_"/>
      <sheetName val="_Recovered_SheetName_489_"/>
      <sheetName val="_Recovered_SheetName_490_"/>
      <sheetName val="_Recovered_SheetName_491_"/>
      <sheetName val="_Recovered_SheetName_492_"/>
      <sheetName val="_Recovered_SheetName_493_"/>
      <sheetName val="_Recovered_SheetName_494_"/>
      <sheetName val="_Recovered_SheetName_495_"/>
      <sheetName val="_Recovered_SheetName_496_"/>
      <sheetName val="_Recovered_SheetName_497_"/>
      <sheetName val="_Recovered_SheetName_498_"/>
      <sheetName val="_Recovered_SheetName_499_"/>
      <sheetName val="_Recovered_SheetName_500_"/>
      <sheetName val="_Recovered_SheetName_501_"/>
      <sheetName val="_Recovered_SheetName_502_"/>
      <sheetName val="_Recovered_SheetName_503_"/>
      <sheetName val="_Recovered_SheetName_504_"/>
      <sheetName val="_Recovered_SheetName_505_"/>
      <sheetName val="_Recovered_SheetName_506_"/>
      <sheetName val="_Recovered_SheetName_507_"/>
      <sheetName val="_Recovered_SheetName_508_"/>
      <sheetName val="_Recovered_SheetName_509_"/>
      <sheetName val="_Recovered_SheetName_510_"/>
      <sheetName val="_Recovered_SheetName_511_"/>
      <sheetName val="_Recovered_SheetName_512_"/>
      <sheetName val="_Recovered_SheetName_513_"/>
      <sheetName val="_Recovered_SheetName_514_"/>
      <sheetName val="_Recovered_SheetName_515_"/>
      <sheetName val="_Recovered_SheetName_516_"/>
      <sheetName val="_Recovered_SheetName_517_"/>
      <sheetName val="_Recovered_SheetName_518_"/>
      <sheetName val="_Recovered_SheetName_519_"/>
      <sheetName val="_Recovered_SheetName_520_"/>
      <sheetName val="_Recovered_SheetName_521_"/>
      <sheetName val="_Recovered_SheetName_522_"/>
      <sheetName val="_Recovered_SheetName_523_"/>
      <sheetName val="_Recovered_SheetName_524_"/>
      <sheetName val="_Recovered_SheetName_525_"/>
      <sheetName val="_Recovered_SheetName_526_"/>
      <sheetName val="_Recovered_SheetName_527_"/>
      <sheetName val="_Recovered_SheetName_528_"/>
      <sheetName val="_Recovered_SheetName_529_"/>
      <sheetName val="_Recovered_SheetName_530_"/>
      <sheetName val="_Recovered_SheetName_531_"/>
      <sheetName val="_Recovered_SheetName_532_"/>
      <sheetName val="_Recovered_SheetName_533_"/>
      <sheetName val="_Recovered_SheetName_534_"/>
      <sheetName val="_Recovered_SheetName_535_"/>
      <sheetName val="_Recovered_SheetName_536_"/>
      <sheetName val="_Recovered_SheetName_537_"/>
      <sheetName val="_Recovered_SheetName_538_"/>
      <sheetName val="_Recovered_SheetName_539_"/>
      <sheetName val="_Recovered_SheetName_540_"/>
      <sheetName val="_Recovered_SheetName_541_"/>
      <sheetName val="_Recovered_SheetName_542_"/>
      <sheetName val="_Recovered_SheetName_543_"/>
      <sheetName val="_Recovered_SheetName_544_"/>
      <sheetName val="_Recovered_SheetName_545_"/>
      <sheetName val="_Recovered_SheetName_546_"/>
      <sheetName val="_Recovered_SheetName_547_"/>
      <sheetName val="_Recovered_SheetName_548_"/>
      <sheetName val="_Recovered_SheetName_549_"/>
      <sheetName val="_Recovered_SheetName_550_"/>
      <sheetName val="_Recovered_SheetName_551_"/>
      <sheetName val="_Recovered_SheetName_552_"/>
      <sheetName val="_Recovered_SheetName_553_"/>
      <sheetName val="_Recovered_SheetName_554_"/>
      <sheetName val="_Recovered_SheetName_555_"/>
      <sheetName val="_Recovered_SheetName_556_"/>
      <sheetName val="_Recovered_SheetName_557_"/>
      <sheetName val="_Recovered_SheetName_558_"/>
      <sheetName val="_Recovered_SheetName_559_"/>
      <sheetName val="_Recovered_SheetName_560_"/>
      <sheetName val="_Recovered_SheetName_561_"/>
      <sheetName val="_Recovered_SheetName_562_"/>
      <sheetName val="_Recovered_SheetName_563_"/>
      <sheetName val="_Recovered_SheetName_564_"/>
      <sheetName val="_Recovered_SheetName_565_"/>
      <sheetName val="_Recovered_SheetName_566_"/>
      <sheetName val="_Recovered_SheetName_567_"/>
      <sheetName val="_Recovered_SheetName_568_"/>
      <sheetName val="_Recovered_SheetName_569_"/>
      <sheetName val="_Recovered_SheetName_570_"/>
      <sheetName val="_Recovered_SheetName_571_"/>
      <sheetName val="_Recovered_SheetName_572_"/>
      <sheetName val="_Recovered_SheetName_573_"/>
      <sheetName val="_Recovered_SheetName_574_"/>
      <sheetName val="_Recovered_SheetName_575_"/>
      <sheetName val="_Recovered_SheetName_576_"/>
      <sheetName val="_Recovered_SheetName_577_"/>
      <sheetName val="_Recovered_SheetName_578_"/>
      <sheetName val="_Recovered_SheetName_579_"/>
      <sheetName val="_Recovered_SheetName_580_"/>
      <sheetName val="_Recovered_SheetName_581_"/>
      <sheetName val="_Recovered_SheetName_582_"/>
      <sheetName val="_Recovered_SheetName_583_"/>
      <sheetName val="_Recovered_SheetName_584_"/>
      <sheetName val="_Recovered_SheetName_585_"/>
      <sheetName val="_Recovered_SheetName_586_"/>
      <sheetName val="_Recovered_SheetName_587_"/>
      <sheetName val="_Recovered_SheetName_588_"/>
      <sheetName val="_Recovered_SheetName_589_"/>
      <sheetName val="_Recovered_SheetName_590_"/>
      <sheetName val="_Recovered_SheetName_591_"/>
      <sheetName val="_Recovered_SheetName_592_"/>
      <sheetName val="_Recovered_SheetName_593_"/>
      <sheetName val="_Recovered_SheetName_594_"/>
      <sheetName val="_Recovered_SheetName_595_"/>
      <sheetName val="_Recovered_SheetName_596_"/>
      <sheetName val="_Recovered_SheetName_597_"/>
      <sheetName val="_Recovered_SheetName_598_"/>
      <sheetName val="_Recovered_SheetName_599_"/>
      <sheetName val="_Recovered_SheetName_600_"/>
      <sheetName val="_Recovered_SheetName_601_"/>
      <sheetName val="_Recovered_SheetName_602_"/>
      <sheetName val="_Recovered_SheetName_603_"/>
      <sheetName val="_Recovered_SheetName_604_"/>
      <sheetName val="_Recovered_SheetName_605_"/>
      <sheetName val="_Recovered_SheetName_606_"/>
      <sheetName val="_Recovered_SheetName_607_"/>
      <sheetName val="_Recovered_SheetName_608_"/>
      <sheetName val="_Recovered_SheetName_609_"/>
      <sheetName val="_Recovered_SheetName_610_"/>
      <sheetName val="_Recovered_SheetName_611_"/>
      <sheetName val="_Recovered_SheetName_612_"/>
      <sheetName val="_Recovered_SheetName_613_"/>
      <sheetName val="_Recovered_SheetName_614_"/>
      <sheetName val="_Recovered_SheetName_615_"/>
      <sheetName val="_Recovered_SheetName_616_"/>
      <sheetName val="_Recovered_SheetName_617_"/>
      <sheetName val="_Recovered_SheetName_618_"/>
      <sheetName val="_Recovered_SheetName_619_"/>
      <sheetName val="_Recovered_SheetName_620_"/>
      <sheetName val="_Recovered_SheetName_621_"/>
      <sheetName val="_Recovered_SheetName_622_"/>
      <sheetName val="_Recovered_SheetName_623_"/>
      <sheetName val="_Recovered_SheetName_624_"/>
      <sheetName val="_Recovered_SheetName_625_"/>
      <sheetName val="_Recovered_SheetName_626_"/>
      <sheetName val="_Recovered_SheetName_627_"/>
      <sheetName val="_Recovered_SheetName_628_"/>
      <sheetName val="_Recovered_SheetName_629_"/>
      <sheetName val="_Recovered_SheetName_630_"/>
      <sheetName val="_Recovered_SheetName_631_"/>
      <sheetName val="_Recovered_SheetName_632_"/>
      <sheetName val="_Recovered_SheetName_633_"/>
      <sheetName val="_Recovered_SheetName_634_"/>
      <sheetName val="_Recovered_SheetName_635_"/>
      <sheetName val="_Recovered_SheetName_636_"/>
      <sheetName val="_Recovered_SheetName_637_"/>
      <sheetName val="_Recovered_SheetName_638_"/>
      <sheetName val="_Recovered_SheetName_639_"/>
      <sheetName val="_Recovered_SheetName_640_"/>
      <sheetName val="_Recovered_SheetName_641_"/>
      <sheetName val="_Recovered_SheetName_642_"/>
      <sheetName val="_Recovered_SheetName_643_"/>
      <sheetName val="_Recovered_SheetName_644_"/>
      <sheetName val="_Recovered_SheetName_645_"/>
      <sheetName val="_Recovered_SheetName_646_"/>
      <sheetName val="_Recovered_SheetName_647_"/>
      <sheetName val="_Recovered_SheetName_648_"/>
      <sheetName val="_Recovered_SheetName_649_"/>
      <sheetName val="_Recovered_SheetName_650_"/>
      <sheetName val="_Recovered_SheetName_651_"/>
      <sheetName val="_Recovered_SheetName_652_"/>
      <sheetName val="_Recovered_SheetName_653_"/>
      <sheetName val="_Recovered_SheetName_654_"/>
      <sheetName val="_Recovered_SheetName_655_"/>
      <sheetName val="_Recovered_SheetName_656_"/>
      <sheetName val="_Recovered_SheetName_657_"/>
      <sheetName val="_Recovered_SheetName_658_"/>
      <sheetName val="_Recovered_SheetName_659_"/>
      <sheetName val="_Recovered_SheetName_660_"/>
      <sheetName val="_Recovered_SheetName_661_"/>
      <sheetName val="_Recovered_SheetName_662_"/>
      <sheetName val="_Recovered_SheetName_663_"/>
      <sheetName val="_Recovered_SheetName_664_"/>
      <sheetName val="_Recovered_SheetName_665_"/>
      <sheetName val="_Recovered_SheetName_666_"/>
      <sheetName val="_Recovered_SheetName_667_"/>
      <sheetName val="_Recovered_SheetName_668_"/>
      <sheetName val="_Recovered_SheetName_669_"/>
      <sheetName val="_Recovered_SheetName_670_"/>
      <sheetName val="_Recovered_SheetName_671_"/>
      <sheetName val="_Recovered_SheetName_672_"/>
      <sheetName val="_Recovered_SheetName_673_"/>
      <sheetName val="_Recovered_SheetName_674_"/>
      <sheetName val="_Recovered_SheetName_675_"/>
      <sheetName val="_Recovered_SheetName_676_"/>
      <sheetName val="_Recovered_SheetName_677_"/>
      <sheetName val="_Recovered_SheetName_678_"/>
      <sheetName val="_Recovered_SheetName_679_"/>
      <sheetName val="_Recovered_SheetName_680_"/>
      <sheetName val="_Recovered_SheetName_681_"/>
      <sheetName val="_Recovered_SheetName_682_"/>
      <sheetName val="_Recovered_SheetName_683_"/>
      <sheetName val="_Recovered_SheetName_684_"/>
      <sheetName val="_Recovered_SheetName_685_"/>
      <sheetName val="_Recovered_SheetName_686_"/>
      <sheetName val="_Recovered_SheetName_687_"/>
      <sheetName val="_Recovered_SheetName_688_"/>
      <sheetName val="_Recovered_SheetName_689_"/>
      <sheetName val="_Recovered_SheetName_690_"/>
      <sheetName val="_Recovered_SheetName_691_"/>
      <sheetName val="_Recovered_SheetName_692_"/>
      <sheetName val="_Recovered_SheetName_693_"/>
      <sheetName val="_Recovered_SheetName_694_"/>
      <sheetName val="_Recovered_SheetName_695_"/>
      <sheetName val="_Recovered_SheetName_696_"/>
      <sheetName val="_Recovered_SheetName_697_"/>
      <sheetName val="_Recovered_SheetName_698_"/>
      <sheetName val="_Recovered_SheetName_699_"/>
      <sheetName val="_Recovered_SheetName_700_"/>
      <sheetName val="_Recovered_SheetName_701_"/>
      <sheetName val="_Recovered_SheetName_702_"/>
      <sheetName val="_Recovered_SheetName_703_"/>
      <sheetName val="_Recovered_SheetName_704_"/>
      <sheetName val="_Recovered_SheetName_705_"/>
      <sheetName val="_Recovered_SheetName_706_"/>
      <sheetName val="_Recovered_SheetName_707_"/>
      <sheetName val="_Recovered_SheetName_708_"/>
      <sheetName val="_Recovered_SheetName_709_"/>
      <sheetName val="_Recovered_SheetName_710_"/>
      <sheetName val="_Recovered_SheetName_711_"/>
      <sheetName val="_Recovered_SheetName_712_"/>
      <sheetName val="_Recovered_SheetName_713_"/>
      <sheetName val="_Recovered_SheetName_714_"/>
      <sheetName val="_Recovered_SheetName_715_"/>
      <sheetName val="_Recovered_SheetName_716_"/>
      <sheetName val="_Recovered_SheetName_717_"/>
      <sheetName val="_Recovered_SheetName_718_"/>
      <sheetName val="_Recovered_SheetName_719_"/>
      <sheetName val="_Recovered_SheetName_720_"/>
      <sheetName val="_Recovered_SheetName_721_"/>
      <sheetName val="_Recovered_SheetName_722_"/>
      <sheetName val="_Recovered_SheetName_723_"/>
      <sheetName val="_Recovered_SheetName_724_"/>
      <sheetName val="_Recovered_SheetName_725_"/>
      <sheetName val="_Recovered_SheetName_726_"/>
      <sheetName val="_Recovered_SheetName_727_"/>
      <sheetName val="_Recovered_SheetName_728_"/>
      <sheetName val="_Recovered_SheetName_729_"/>
      <sheetName val="_Recovered_SheetName_730_"/>
      <sheetName val="_Recovered_SheetName_731_"/>
      <sheetName val="_Recovered_SheetName_732_"/>
      <sheetName val="_Recovered_SheetName_733_"/>
      <sheetName val="_Recovered_SheetName_734_"/>
      <sheetName val="_Recovered_SheetName_735_"/>
      <sheetName val="_Recovered_SheetName_736_"/>
      <sheetName val="_Recovered_SheetName_737_"/>
      <sheetName val="_Recovered_SheetName_738_"/>
      <sheetName val="_Recovered_SheetName_739_"/>
      <sheetName val="_Recovered_SheetName_740_"/>
      <sheetName val="_Recovered_SheetName_741_"/>
      <sheetName val="_Recovered_SheetName_742_"/>
      <sheetName val="_Recovered_SheetName_743_"/>
      <sheetName val="_Recovered_SheetName_744_"/>
      <sheetName val="_Recovered_SheetName_745_"/>
      <sheetName val="_Recovered_SheetName_746_"/>
      <sheetName val="_Recovered_SheetName_747_"/>
      <sheetName val="_Recovered_SheetName_748_"/>
      <sheetName val="_Recovered_SheetName_749_"/>
      <sheetName val="_Recovered_SheetName_750_"/>
      <sheetName val="_Recovered_SheetName_751_"/>
      <sheetName val="_Recovered_SheetName_752_"/>
      <sheetName val="_Recovered_SheetName_753_"/>
      <sheetName val="_Recovered_SheetName_754_"/>
      <sheetName val="_Recovered_SheetName_755_"/>
      <sheetName val="_Recovered_SheetName_756_"/>
      <sheetName val="_Recovered_SheetName_757_"/>
      <sheetName val="_Recovered_SheetName_758_"/>
      <sheetName val="_Recovered_SheetName_759_"/>
      <sheetName val="_Recovered_SheetName_760_"/>
      <sheetName val="_Recovered_SheetName_761_"/>
      <sheetName val="_Recovered_SheetName_762_"/>
      <sheetName val="_Recovered_SheetName_763_"/>
      <sheetName val="_Recovered_SheetName_764_"/>
      <sheetName val="_Recovered_SheetName_765_"/>
      <sheetName val="_Recovered_SheetName_766_"/>
      <sheetName val="_Recovered_SheetName_767_"/>
      <sheetName val="_Recovered_SheetName_768_"/>
      <sheetName val="_Recovered_SheetName_769_"/>
      <sheetName val="_Recovered_SheetName_770_"/>
      <sheetName val="_Recovered_SheetName_771_"/>
      <sheetName val="_Recovered_SheetName_772_"/>
      <sheetName val="_Recovered_SheetName_773_"/>
      <sheetName val="_Recovered_SheetName_774_"/>
      <sheetName val="_Recovered_SheetName_775_"/>
      <sheetName val="_Recovered_SheetName_776_"/>
      <sheetName val="_Recovered_SheetName_777_"/>
      <sheetName val="_Recovered_SheetName_778_"/>
      <sheetName val="_Recovered_SheetName_779_"/>
      <sheetName val="_Recovered_SheetName_780_"/>
      <sheetName val="_Recovered_SheetName_781_"/>
      <sheetName val="_Recovered_SheetName_782_"/>
      <sheetName val="_Recovered_SheetName_783_"/>
      <sheetName val="_Recovered_SheetName_784_"/>
      <sheetName val="_Recovered_SheetName_785_"/>
      <sheetName val="_Recovered_SheetName_786_"/>
      <sheetName val="_Recovered_SheetName_787_"/>
      <sheetName val="_Recovered_SheetName_788_"/>
      <sheetName val="_Recovered_SheetName_789_"/>
      <sheetName val="_Recovered_SheetName_790_"/>
      <sheetName val="_Recovered_SheetName_791_"/>
      <sheetName val="_Recovered_SheetName_792_"/>
      <sheetName val="_Recovered_SheetName_793_"/>
      <sheetName val="_Recovered_SheetName_794_"/>
      <sheetName val="_Recovered_SheetName_795_"/>
      <sheetName val="_Recovered_SheetName_796_"/>
      <sheetName val="_Recovered_SheetName_797_"/>
      <sheetName val="_Recovered_SheetName_798_"/>
      <sheetName val="_Recovered_SheetName_799_"/>
      <sheetName val="_Recovered_SheetName_800_"/>
      <sheetName val="_Recovered_SheetName_801_"/>
      <sheetName val="_Recovered_SheetName_802_"/>
      <sheetName val="_Recovered_SheetName_803_"/>
      <sheetName val="_Recovered_SheetName_804_"/>
      <sheetName val="_Recovered_SheetName_805_"/>
      <sheetName val="_Recovered_SheetName_806_"/>
      <sheetName val="_Recovered_SheetName_807_"/>
      <sheetName val="_Recovered_SheetName_808_"/>
      <sheetName val="_Recovered_SheetName_809_"/>
      <sheetName val="_Recovered_SheetName_810_"/>
      <sheetName val="_Recovered_SheetName_811_"/>
      <sheetName val="_Recovered_SheetName_812_"/>
      <sheetName val="_Recovered_SheetName_813_"/>
      <sheetName val="_Recovered_SheetName_814_"/>
      <sheetName val="_Recovered_SheetName_815_"/>
      <sheetName val="_Recovered_SheetName_816_"/>
      <sheetName val="_Recovered_SheetName_817_"/>
      <sheetName val="_Recovered_SheetName_818_"/>
      <sheetName val="_Recovered_SheetName_819_"/>
      <sheetName val="_Recovered_SheetName_820_"/>
      <sheetName val="_Recovered_SheetName_821_"/>
      <sheetName val="_Recovered_SheetName_822_"/>
      <sheetName val="_Recovered_SheetName_823_"/>
      <sheetName val="_Recovered_SheetName_824_"/>
      <sheetName val="_Recovered_SheetName_825_"/>
      <sheetName val="_Recovered_SheetName_826_"/>
      <sheetName val="_Recovered_SheetName_827_"/>
      <sheetName val="_Recovered_SheetName_828_"/>
      <sheetName val="_Recovered_SheetName_829_"/>
      <sheetName val="_Recovered_SheetName_830_"/>
      <sheetName val="_Recovered_SheetName_831_"/>
      <sheetName val="_Recovered_SheetName_832_"/>
      <sheetName val="_Recovered_SheetName_833_"/>
      <sheetName val="_Recovered_SheetName_834_"/>
      <sheetName val="_Recovered_SheetName_835_"/>
      <sheetName val="_Recovered_SheetName_836_"/>
      <sheetName val="_Recovered_SheetName_837_"/>
      <sheetName val="_Recovered_SheetName_838_"/>
      <sheetName val="_Recovered_SheetName_839_"/>
      <sheetName val="_Recovered_SheetName_840_"/>
      <sheetName val="_Recovered_SheetName_841_"/>
      <sheetName val="_Recovered_SheetName_842_"/>
      <sheetName val="_Recovered_SheetName_843_"/>
      <sheetName val="_Recovered_SheetName_844_"/>
      <sheetName val="_Recovered_SheetName_845_"/>
      <sheetName val="_Recovered_SheetName_846_"/>
      <sheetName val="_Recovered_SheetName_847_"/>
      <sheetName val="_Recovered_SheetName_848_"/>
      <sheetName val="_Recovered_SheetName_849_"/>
      <sheetName val="_Recovered_SheetName_850_"/>
      <sheetName val="_Recovered_SheetName_851_"/>
      <sheetName val="_Recovered_SheetName_852_"/>
      <sheetName val="_Recovered_SheetName_853_"/>
      <sheetName val="_Recovered_SheetName_854_"/>
      <sheetName val="_Recovered_SheetName_855_"/>
      <sheetName val="_Recovered_SheetName_856_"/>
      <sheetName val="_Recovered_SheetName_857_"/>
      <sheetName val="_Recovered_SheetName_858_"/>
      <sheetName val="_Recovered_SheetName_859_"/>
      <sheetName val="_Recovered_SheetName_860_"/>
      <sheetName val="_Recovered_SheetName_861_"/>
      <sheetName val="_Recovered_SheetName_862_"/>
      <sheetName val="_Recovered_SheetName_863_"/>
      <sheetName val="_Recovered_SheetName_864_"/>
      <sheetName val="_Recovered_SheetName_865_"/>
      <sheetName val="_Recovered_SheetName_866_"/>
      <sheetName val="_Recovered_SheetName_867_"/>
      <sheetName val="_Recovered_SheetName_868_"/>
      <sheetName val="_Recovered_SheetName_869_"/>
      <sheetName val="_Recovered_SheetName_870_"/>
      <sheetName val="_Recovered_SheetName_871_"/>
      <sheetName val="_Recovered_SheetName_872_"/>
      <sheetName val="_Recovered_SheetName_873_"/>
      <sheetName val="_Recovered_SheetName_874_"/>
      <sheetName val="_Recovered_SheetName_875_"/>
      <sheetName val="_Recovered_SheetName_876_"/>
      <sheetName val="_Recovered_SheetName_877_"/>
      <sheetName val="_Recovered_SheetName_878_"/>
      <sheetName val="_Recovered_SheetName_879_"/>
      <sheetName val="_Recovered_SheetName_880_"/>
      <sheetName val="_Recovered_SheetName_881_"/>
      <sheetName val="_Recovered_SheetName_882_"/>
      <sheetName val="_Recovered_SheetName_883_"/>
      <sheetName val="_Recovered_SheetName_884_"/>
      <sheetName val="_Recovered_SheetName_885_"/>
      <sheetName val="_Recovered_SheetName_886_"/>
      <sheetName val="_Recovered_SheetName_887_"/>
      <sheetName val="_Recovered_SheetName_888_"/>
      <sheetName val="_Recovered_SheetName_889_"/>
      <sheetName val="_Recovered_SheetName_890_"/>
      <sheetName val="_Recovered_SheetName_891_"/>
      <sheetName val="_Recovered_SheetName_892_"/>
      <sheetName val="_Recovered_SheetName_893_"/>
      <sheetName val="_Recovered_SheetName_894_"/>
      <sheetName val="_Recovered_SheetName_895_"/>
      <sheetName val="_Recovered_SheetName_896_"/>
      <sheetName val="_Recovered_SheetName_897_"/>
      <sheetName val="_Recovered_SheetName_898_"/>
      <sheetName val="_Recovered_SheetName_899_"/>
      <sheetName val="_Recovered_SheetName_900_"/>
      <sheetName val="_Recovered_SheetName_901_"/>
      <sheetName val="_Recovered_SheetName_902_"/>
      <sheetName val="_Recovered_SheetName_903_"/>
      <sheetName val="_Recovered_SheetName_904_"/>
      <sheetName val="_Recovered_SheetName_905_"/>
      <sheetName val="_Recovered_SheetName_906_"/>
      <sheetName val="_Recovered_SheetName_907_"/>
      <sheetName val="_Recovered_SheetName_908_"/>
      <sheetName val="_Recovered_SheetName_909_"/>
      <sheetName val="_Recovered_SheetName_910_"/>
      <sheetName val="_Recovered_SheetName_911_"/>
      <sheetName val="_Recovered_SheetName_912_"/>
      <sheetName val="_Recovered_SheetName_913_"/>
      <sheetName val="_Recovered_SheetName_914_"/>
      <sheetName val="_Recovered_SheetName_915_"/>
      <sheetName val="_Recovered_SheetName_916_"/>
      <sheetName val="_Recovered_SheetName_917_"/>
      <sheetName val="_Recovered_SheetName_918_"/>
      <sheetName val="_Recovered_SheetName_919_"/>
      <sheetName val="_Recovered_SheetName_920_"/>
      <sheetName val="_Recovered_SheetName_921_"/>
      <sheetName val="_Recovered_SheetName_922_"/>
      <sheetName val="_Recovered_SheetName_923_"/>
      <sheetName val="_Recovered_SheetName_924_"/>
      <sheetName val="_Recovered_SheetName_925_"/>
      <sheetName val="_Recovered_SheetName_926_"/>
      <sheetName val="_Recovered_SheetName_927_"/>
      <sheetName val="_Recovered_SheetName_928_"/>
      <sheetName val="_Recovered_SheetName_929_"/>
      <sheetName val="_Recovered_SheetName_930_"/>
      <sheetName val="_Recovered_SheetName_931_"/>
      <sheetName val="_Recovered_SheetName_932_"/>
      <sheetName val="_Recovered_SheetName_933_"/>
      <sheetName val="_Recovered_SheetName_934_"/>
      <sheetName val="_Recovered_SheetName_935_"/>
      <sheetName val="_Recovered_SheetName_936_"/>
      <sheetName val="_Recovered_SheetName_937_"/>
      <sheetName val="_Recovered_SheetName_938_"/>
      <sheetName val="_Recovered_SheetName_939_"/>
      <sheetName val="_Recovered_SheetName_940_"/>
      <sheetName val="_Recovered_SheetName_941_"/>
      <sheetName val="_Recovered_SheetName_942_"/>
      <sheetName val="_Recovered_SheetName_943_"/>
      <sheetName val="_Recovered_SheetName_944_"/>
      <sheetName val="_Recovered_SheetName_945_"/>
      <sheetName val="_Recovered_SheetName_946_"/>
      <sheetName val="_Recovered_SheetName_947_"/>
      <sheetName val="_Recovered_SheetName_948_"/>
      <sheetName val="_Recovered_SheetName_949_"/>
      <sheetName val="_Recovered_SheetName_950_"/>
      <sheetName val="_Recovered_SheetName_951_"/>
      <sheetName val="_Recovered_SheetName_952_"/>
      <sheetName val="_Recovered_SheetName_953_"/>
      <sheetName val="_Recovered_SheetName_954_"/>
      <sheetName val="_Recovered_SheetName_955_"/>
      <sheetName val="_Recovered_SheetName_956_"/>
      <sheetName val="_Recovered_SheetName_957_"/>
      <sheetName val="_Recovered_SheetName_958_"/>
      <sheetName val="_Recovered_SheetName_959_"/>
      <sheetName val="_Recovered_SheetName_960_"/>
      <sheetName val="_Recovered_SheetName_961_"/>
      <sheetName val="_Recovered_SheetName_962_"/>
      <sheetName val="_Recovered_SheetName_963_"/>
      <sheetName val="_Recovered_SheetName_964_"/>
      <sheetName val="_Recovered_SheetName_965_"/>
      <sheetName val="_Recovered_SheetName_966_"/>
      <sheetName val="_Recovered_SheetName_967_"/>
      <sheetName val="_Recovered_SheetName_968_"/>
      <sheetName val="_Recovered_SheetName_969_"/>
      <sheetName val="_Recovered_SheetName_970_"/>
      <sheetName val="_Recovered_SheetName_971_"/>
      <sheetName val="_Recovered_SheetName_972_"/>
      <sheetName val="_Recovered_SheetName_973_"/>
      <sheetName val="_Recovered_SheetName_974_"/>
      <sheetName val="_Recovered_SheetName_975_"/>
      <sheetName val="_Recovered_SheetName_976_"/>
      <sheetName val="_Recovered_SheetName_977_"/>
      <sheetName val="_Recovered_SheetName_978_"/>
      <sheetName val="_Recovered_SheetName_979_"/>
      <sheetName val="_Recovered_SheetName_980_"/>
      <sheetName val="_Recovered_SheetName_981_"/>
      <sheetName val="_Recovered_SheetName_982_"/>
      <sheetName val="_Recovered_SheetName_983_"/>
      <sheetName val="_Recovered_SheetName_984_"/>
      <sheetName val="_Recovered_SheetName_985_"/>
      <sheetName val="_Recovered_SheetName_986_"/>
      <sheetName val="_Recovered_SheetName_987_"/>
      <sheetName val="_Recovered_SheetName_988_"/>
      <sheetName val="_Recovered_SheetName_989_"/>
      <sheetName val="_Recovered_SheetName_990_"/>
      <sheetName val="_Recovered_SheetName_991_"/>
      <sheetName val="_Recovered_SheetName_992_"/>
      <sheetName val="_Recovered_SheetName_993_"/>
      <sheetName val="_Recovered_SheetName_994_"/>
      <sheetName val="_Recovered_SheetName_995_"/>
      <sheetName val="_Recovered_SheetName_996_"/>
      <sheetName val="_Recovered_SheetName_997_"/>
      <sheetName val="_Recovered_SheetName_998_"/>
      <sheetName val="_Recovered_SheetName_999_"/>
      <sheetName val="_Recovered_SheetName_1000_"/>
      <sheetName val="_Recovered_SheetName_1001_"/>
      <sheetName val="_Recovered_SheetName_1002_"/>
      <sheetName val="_Recovered_SheetName_1003_"/>
      <sheetName val="_Recovered_SheetName_1004_"/>
      <sheetName val="_Recovered_SheetName_1005_"/>
      <sheetName val="_Recovered_SheetName_1006_"/>
      <sheetName val="_Recovered_SheetName_1007_"/>
      <sheetName val="_Recovered_SheetName_1008_"/>
      <sheetName val="_Recovered_SheetName_1009_"/>
      <sheetName val="_Recovered_SheetName_1010_"/>
      <sheetName val="_Recovered_SheetName_1011_"/>
      <sheetName val="_Recovered_SheetName_1012_"/>
      <sheetName val="_Recovered_SheetName_1013_"/>
      <sheetName val="_Recovered_SheetName_1014_"/>
      <sheetName val="_Recovered_SheetName_1015_"/>
      <sheetName val="_Recovered_SheetName_1016_"/>
      <sheetName val="_Recovered_SheetName_1017_"/>
      <sheetName val="_Recovered_SheetName_1018_"/>
      <sheetName val="_Recovered_SheetName_1019_"/>
      <sheetName val="_Recovered_SheetName_1020_"/>
      <sheetName val="_Recovered_SheetName_1021_"/>
      <sheetName val="_Recovered_SheetName_1022_"/>
      <sheetName val="_Recovered_SheetName_1023_"/>
      <sheetName val="_Recovered_SheetName_1024_"/>
      <sheetName val="_Recovered_SheetName_1025_"/>
      <sheetName val="_Recovered_SheetName_1026_"/>
      <sheetName val="_Recovered_SheetName_1027_"/>
      <sheetName val="_Recovered_SheetName_1028_"/>
      <sheetName val="_Recovered_SheetName_1029_"/>
      <sheetName val="_Recovered_SheetName_1030_"/>
      <sheetName val="_Recovered_SheetName_1031_"/>
      <sheetName val="_Recovered_SheetName_1032_"/>
      <sheetName val="_Recovered_SheetName_1033_"/>
      <sheetName val="_Recovered_SheetName_1034_"/>
      <sheetName val="_Recovered_SheetName_1035_"/>
      <sheetName val="_Recovered_SheetName_1036_"/>
      <sheetName val="_Recovered_SheetName_1037_"/>
      <sheetName val="_Recovered_SheetName_1038_"/>
      <sheetName val="_Recovered_SheetName_1039_"/>
      <sheetName val="_Recovered_SheetName_1040_"/>
      <sheetName val="_Recovered_SheetName_1041_"/>
      <sheetName val="_Recovered_SheetName_1042_"/>
      <sheetName val="_Recovered_SheetName_1043_"/>
      <sheetName val="_Recovered_SheetName_1044_"/>
      <sheetName val="_Recovered_SheetName_1045_"/>
      <sheetName val="_Recovered_SheetName_1046_"/>
      <sheetName val="_Recovered_SheetName_1047_"/>
      <sheetName val="nanjprofit"/>
      <sheetName val="Builtup Area"/>
      <sheetName val="Rocker"/>
      <sheetName val="girder"/>
      <sheetName val="conc-foot-gradeslab"/>
      <sheetName val="Approved MTD Proj #'s"/>
      <sheetName val="Reference Values"/>
      <sheetName val="VCH-SLC"/>
      <sheetName val="Supplier"/>
      <sheetName val="Per Unit"/>
      <sheetName val="Fin. Assumpt. - Sensitivities"/>
      <sheetName val="IO_LIST28"/>
      <sheetName val="Basement_Budget27"/>
      <sheetName val="Material_27"/>
      <sheetName val="Labour_&amp;_Plant27"/>
      <sheetName val="Civil_Works25"/>
      <sheetName val="TBAL9697_-group_wise__sdpl25"/>
      <sheetName val="INPUT_SHEET27"/>
      <sheetName val="Extra_Item25"/>
      <sheetName val="water_prop_25"/>
      <sheetName val="Site_Dev_BOQ25"/>
      <sheetName val="Project_Budget_Worksheet25"/>
      <sheetName val="LIST_OF_MAKES25"/>
      <sheetName val="Data_sheet25"/>
      <sheetName val="CFForecast_detail25"/>
      <sheetName val="Fill_this_out_first___25"/>
      <sheetName val="BASIS_-DEC_0825"/>
      <sheetName val="INDIGINEOUS_ITEMS_25"/>
      <sheetName val="RCC,Ret__Wall25"/>
      <sheetName val="SECURITY_125"/>
      <sheetName val="Basic_Rates25"/>
      <sheetName val="Fin_Sum25"/>
      <sheetName val="Cost_summary25"/>
      <sheetName val="PRECAST_lightconc-II25"/>
      <sheetName val="sqn_ldr_3_Unit_2_25"/>
      <sheetName val="BOQ_Direct_selling_cost25"/>
      <sheetName val="labour_coeff25"/>
      <sheetName val="collections_plan_040125"/>
      <sheetName val="Rate_Analysis25"/>
      <sheetName val="Data_base25"/>
      <sheetName val="Building_125"/>
      <sheetName val="Boq_-_Flats1"/>
      <sheetName val="Centrifugal_pumps_cooling_tow25"/>
      <sheetName val="PRESSURIZATION_units25"/>
      <sheetName val="BASEMENT_VENT___DUCTED_OPTION25"/>
      <sheetName val="New_Construction1"/>
      <sheetName val="final_abstract1"/>
      <sheetName val="3__Elemental_Summary1"/>
      <sheetName val="9__Package_split_-_Cost_1"/>
      <sheetName val="10__&amp;_11__Rate_Code_&amp;_BQ1"/>
      <sheetName val="C_form1"/>
      <sheetName val="E1_51"/>
      <sheetName val="Break_up_Sheet1"/>
      <sheetName val="HOLIDAY_LIST1"/>
      <sheetName val="DASH_BOARD1"/>
      <sheetName val="NEW_Main1"/>
      <sheetName val="schedule_nos1"/>
      <sheetName val="Electrical-Line_Items"/>
      <sheetName val="Step_7"/>
      <sheetName val="PC_Master_List1"/>
      <sheetName val="General_input"/>
      <sheetName val="Linked_Lead"/>
      <sheetName val="Labour_productivity"/>
      <sheetName val="Comparative_at_bid_opening"/>
      <sheetName val="labour_rates"/>
      <sheetName val="Current_Bill_MB_ref"/>
      <sheetName val="A_O_R_(2)"/>
      <sheetName val="Podium_Summary"/>
      <sheetName val="Podium_Budgets"/>
      <sheetName val="electr__work_CA_"/>
      <sheetName val="PANEL_ANNEXURE"/>
      <sheetName val="appendix_A"/>
      <sheetName val="Raw_Data_Hours"/>
      <sheetName val="beam-reinft-IIInd_floor"/>
      <sheetName val="Variation_Request_-_QS_Format"/>
      <sheetName val="Quote_Sheet"/>
      <sheetName val="Break_Up_(bc)"/>
      <sheetName val="Break_Up_(bc1)"/>
      <sheetName val="Break_Up_(bc2)"/>
      <sheetName val="Back_filling"/>
      <sheetName val="NT_items_summary"/>
      <sheetName val="2_civil-RA"/>
      <sheetName val="Insulation_Sheet"/>
      <sheetName val="MD&amp;A_IT_Services_-_Revenues"/>
      <sheetName val="Item-_Compact"/>
      <sheetName val="Meas.-Hotel Part"/>
      <sheetName val="except wiring"/>
      <sheetName val="Toilet"/>
      <sheetName val="3"/>
      <sheetName val="#REF"/>
      <sheetName val="ISSUES"/>
      <sheetName val="Name List"/>
      <sheetName val="Enquire"/>
      <sheetName val="IO_LIST29"/>
      <sheetName val="Basement_Budget28"/>
      <sheetName val="Material_28"/>
      <sheetName val="Labour_&amp;_Plant28"/>
      <sheetName val="LIST_OF_MAKES26"/>
      <sheetName val="INPUT_SHEET28"/>
      <sheetName val="Extra_Item26"/>
      <sheetName val="Site_Dev_BOQ26"/>
      <sheetName val="TBAL9697_-group_wise__sdpl26"/>
      <sheetName val="Project_Budget_Worksheet26"/>
      <sheetName val="water_prop_26"/>
      <sheetName val="Civil_Works26"/>
      <sheetName val="Data_sheet26"/>
      <sheetName val="Fill_this_out_first___26"/>
      <sheetName val="CFForecast_detail26"/>
      <sheetName val="BASIS_-DEC_0826"/>
      <sheetName val="INDIGINEOUS_ITEMS_26"/>
      <sheetName val="RCC,Ret__Wall26"/>
      <sheetName val="sqn_ldr_3_Unit_2_26"/>
      <sheetName val="Cost_summary26"/>
      <sheetName val="labour_coeff26"/>
      <sheetName val="Rate_Analysis26"/>
      <sheetName val="BOQ_Direct_selling_cost26"/>
      <sheetName val="Boq_-_Flats2"/>
      <sheetName val="SECURITY_126"/>
      <sheetName val="PRECAST_lightconc-II26"/>
      <sheetName val="Basic_Rates26"/>
      <sheetName val="Fin_Sum26"/>
      <sheetName val="collections_plan_040126"/>
      <sheetName val="Data_base26"/>
      <sheetName val="Building_126"/>
      <sheetName val="Centrifugal_pumps_cooling_tow26"/>
      <sheetName val="PRESSURIZATION_units26"/>
      <sheetName val="BASEMENT_VENT___DUCTED_OPTION26"/>
      <sheetName val="General_input1"/>
      <sheetName val="Current_Bill_MB_ref1"/>
      <sheetName val="SCurv_(3)1"/>
      <sheetName val="Linked_Lead1"/>
      <sheetName val="Labour_productivity1"/>
      <sheetName val="labour_rates1"/>
      <sheetName val="Step_71"/>
      <sheetName val="Item-_Compact1"/>
      <sheetName val="A_O_R_(2)1"/>
      <sheetName val="Electrical-Line_Items1"/>
      <sheetName val="WORK_TABLE"/>
      <sheetName val="2_civil-RA1"/>
      <sheetName val="Measurement_26"/>
      <sheetName val="Measurement_27"/>
      <sheetName val="Concrete_30"/>
      <sheetName val="Measurement_utility"/>
      <sheetName val="Measurement_sump"/>
      <sheetName val="Road_work"/>
      <sheetName val="Filling_final_"/>
      <sheetName val="Additional_Items"/>
      <sheetName val="Measur_Storm"/>
      <sheetName val="GR_slab-reinft"/>
      <sheetName val="Source_Ref_"/>
      <sheetName val="AutoOpen_Stub_Data"/>
      <sheetName val="Jan_resp"/>
      <sheetName val="Concrete_26"/>
      <sheetName val="Storm_water"/>
      <sheetName val="Abstract_Sheet"/>
      <sheetName val="Basic_Resources"/>
      <sheetName val="GF_Columns"/>
      <sheetName val="Tender_Summary"/>
      <sheetName val="04b_PHE_BoQ"/>
      <sheetName val="Figures_in"/>
      <sheetName val="Cash_Flow_Working"/>
      <sheetName val="site_fab&amp;ernstr"/>
      <sheetName val="Risk_Assessment"/>
      <sheetName val="X_rate"/>
      <sheetName val="fin-city_centre"/>
      <sheetName val="Base_data_Security_Procedures"/>
      <sheetName val="Data_(adj_"/>
      <sheetName val="Masonary_shweta"/>
      <sheetName val="Meas_-Hotel_Part"/>
      <sheetName val="Per_Unit"/>
      <sheetName val="Fin__Assumpt__-_Sensitivities"/>
      <sheetName val="except_wiring"/>
      <sheetName val="LT_internal_works"/>
      <sheetName val="BSMT_beam_(C_&amp;_F)"/>
      <sheetName val="Leads_08-09"/>
      <sheetName val="Builtup_Area"/>
      <sheetName val="HTCS QTY"/>
      <sheetName val="int-Dia-hdpe"/>
      <sheetName val="habs-list"/>
      <sheetName val="int-Dia-pvc"/>
      <sheetName val="segments-details"/>
      <sheetName val="Execution Plan"/>
      <sheetName val="COAT&amp;WRAP-QIOT-#3"/>
      <sheetName val="PNT-QUOT-#3"/>
      <sheetName val="Micro"/>
      <sheetName val="Conc"/>
      <sheetName val="Config"/>
      <sheetName val="Break Dw"/>
      <sheetName val="PCS DATA"/>
      <sheetName val="총괄표"/>
      <sheetName val="#REF!"/>
    </sheetNames>
    <sheetDataSet>
      <sheetData sheetId="0" refreshError="1"/>
      <sheetData sheetId="1" refreshError="1">
        <row r="1">
          <cell r="D1" t="str">
            <v xml:space="preserve">Analog Signals  </v>
          </cell>
          <cell r="G1" t="str">
            <v>Digital Signals</v>
          </cell>
        </row>
        <row r="2">
          <cell r="A2" t="str">
            <v>Sl.no.</v>
          </cell>
          <cell r="B2" t="str">
            <v>Description</v>
          </cell>
          <cell r="C2" t="str">
            <v>Qty</v>
          </cell>
          <cell r="D2" t="str">
            <v>AI Ni 1000</v>
          </cell>
          <cell r="E2" t="str">
            <v>AI 0-10V</v>
          </cell>
          <cell r="F2" t="str">
            <v>AO</v>
          </cell>
          <cell r="G2" t="str">
            <v>DI</v>
          </cell>
          <cell r="H2" t="str">
            <v>DO</v>
          </cell>
          <cell r="I2" t="str">
            <v>Remark</v>
          </cell>
          <cell r="J2" t="str">
            <v>Device from BAS Vendor</v>
          </cell>
          <cell r="K2" t="str">
            <v>Scope of sensor, actuator, contacts, relays, microprocessor unit</v>
          </cell>
          <cell r="L2" t="str">
            <v>stats</v>
          </cell>
          <cell r="M2" t="str">
            <v>sensors</v>
          </cell>
          <cell r="N2" t="str">
            <v>Actuators</v>
          </cell>
          <cell r="O2" t="str">
            <v>valves</v>
          </cell>
        </row>
        <row r="3">
          <cell r="A3" t="str">
            <v>A</v>
          </cell>
          <cell r="B3" t="str">
            <v>ACMV Automation system</v>
          </cell>
        </row>
        <row r="4">
          <cell r="B4" t="str">
            <v>Chillers</v>
          </cell>
        </row>
        <row r="5">
          <cell r="B5" t="str">
            <v>Air Cooled Chillers, water / brine - Qty</v>
          </cell>
          <cell r="I5">
            <v>8</v>
          </cell>
          <cell r="K5" t="str">
            <v>This quantity is assumed and can alter based on design &amp; build scheme of the ACMV contractor</v>
          </cell>
          <cell r="L5">
            <v>0</v>
          </cell>
          <cell r="M5">
            <v>0</v>
          </cell>
          <cell r="N5">
            <v>0</v>
          </cell>
          <cell r="O5">
            <v>0</v>
          </cell>
        </row>
        <row r="6">
          <cell r="A6">
            <v>1</v>
          </cell>
          <cell r="B6" t="str">
            <v>Chiller Enable command</v>
          </cell>
          <cell r="H6">
            <v>8</v>
          </cell>
          <cell r="I6" t="str">
            <v>Command to chiller panel</v>
          </cell>
          <cell r="K6" t="str">
            <v>ACMV Vendor</v>
          </cell>
          <cell r="L6">
            <v>0</v>
          </cell>
          <cell r="M6">
            <v>0</v>
          </cell>
          <cell r="N6">
            <v>0</v>
          </cell>
          <cell r="O6">
            <v>0</v>
          </cell>
        </row>
        <row r="7">
          <cell r="A7">
            <v>2</v>
          </cell>
          <cell r="B7" t="str">
            <v>Chiller ON/OFF status</v>
          </cell>
          <cell r="G7">
            <v>8</v>
          </cell>
          <cell r="I7" t="str">
            <v xml:space="preserve">signal from potential-free  contact </v>
          </cell>
          <cell r="K7" t="str">
            <v>ACMV Vendor</v>
          </cell>
          <cell r="L7">
            <v>0</v>
          </cell>
          <cell r="M7">
            <v>0</v>
          </cell>
          <cell r="N7">
            <v>0</v>
          </cell>
          <cell r="O7">
            <v>0</v>
          </cell>
        </row>
        <row r="8">
          <cell r="A8">
            <v>3</v>
          </cell>
          <cell r="B8" t="str">
            <v>Chiller Auto / Manual status</v>
          </cell>
          <cell r="G8">
            <v>8</v>
          </cell>
          <cell r="I8" t="str">
            <v xml:space="preserve">signal from potential-free  contact </v>
          </cell>
          <cell r="K8" t="str">
            <v>ACMV Vendor</v>
          </cell>
          <cell r="L8">
            <v>0</v>
          </cell>
          <cell r="M8">
            <v>0</v>
          </cell>
          <cell r="N8">
            <v>0</v>
          </cell>
          <cell r="O8">
            <v>0</v>
          </cell>
        </row>
        <row r="9">
          <cell r="A9">
            <v>4</v>
          </cell>
          <cell r="B9" t="str">
            <v>Chiller trip status</v>
          </cell>
          <cell r="G9">
            <v>8</v>
          </cell>
          <cell r="I9" t="str">
            <v xml:space="preserve">signal from potential-free  contact </v>
          </cell>
          <cell r="K9" t="str">
            <v>ACMV Vendor</v>
          </cell>
          <cell r="L9">
            <v>0</v>
          </cell>
          <cell r="M9">
            <v>0</v>
          </cell>
          <cell r="N9">
            <v>0</v>
          </cell>
          <cell r="O9">
            <v>0</v>
          </cell>
        </row>
        <row r="10">
          <cell r="A10">
            <v>5</v>
          </cell>
          <cell r="B10" t="str">
            <v>Set charge temperature</v>
          </cell>
          <cell r="H10">
            <v>8</v>
          </cell>
          <cell r="I10" t="str">
            <v>Command to chiller panel</v>
          </cell>
          <cell r="K10" t="str">
            <v>ACMV Vendor</v>
          </cell>
          <cell r="L10">
            <v>0</v>
          </cell>
          <cell r="M10">
            <v>0</v>
          </cell>
          <cell r="N10">
            <v>0</v>
          </cell>
          <cell r="O10">
            <v>0</v>
          </cell>
        </row>
        <row r="11">
          <cell r="A11">
            <v>6</v>
          </cell>
          <cell r="B11" t="str">
            <v>Flow switch status</v>
          </cell>
          <cell r="G11">
            <v>8</v>
          </cell>
          <cell r="I11" t="str">
            <v>flow switch</v>
          </cell>
          <cell r="J11" t="str">
            <v>B</v>
          </cell>
          <cell r="K11" t="str">
            <v>BAS vendor</v>
          </cell>
          <cell r="L11">
            <v>8</v>
          </cell>
          <cell r="M11">
            <v>0</v>
          </cell>
          <cell r="N11">
            <v>0</v>
          </cell>
          <cell r="O11">
            <v>0</v>
          </cell>
        </row>
        <row r="12">
          <cell r="A12">
            <v>7</v>
          </cell>
          <cell r="B12" t="str">
            <v>Outlet temperature of Individual chillers</v>
          </cell>
          <cell r="D12">
            <v>8</v>
          </cell>
          <cell r="I12" t="str">
            <v>Immersion type temp sensor + pocket</v>
          </cell>
          <cell r="J12" t="str">
            <v>S</v>
          </cell>
          <cell r="K12" t="str">
            <v>BAS vendor</v>
          </cell>
          <cell r="L12">
            <v>0</v>
          </cell>
          <cell r="M12">
            <v>8</v>
          </cell>
          <cell r="N12">
            <v>0</v>
          </cell>
          <cell r="O12">
            <v>0</v>
          </cell>
        </row>
        <row r="13">
          <cell r="A13">
            <v>8</v>
          </cell>
          <cell r="B13" t="str">
            <v>Common supply &amp; return header temperature /each circuit</v>
          </cell>
          <cell r="D13">
            <v>8</v>
          </cell>
          <cell r="I13" t="str">
            <v>Immersion type temp sensor + pocket</v>
          </cell>
          <cell r="J13" t="str">
            <v>S</v>
          </cell>
          <cell r="K13" t="str">
            <v>BAS vendor</v>
          </cell>
          <cell r="L13">
            <v>0</v>
          </cell>
          <cell r="M13">
            <v>8</v>
          </cell>
          <cell r="N13">
            <v>0</v>
          </cell>
          <cell r="O13">
            <v>0</v>
          </cell>
        </row>
        <row r="14">
          <cell r="A14">
            <v>9</v>
          </cell>
          <cell r="B14" t="str">
            <v>butterfly on/off Chiller isolation valves command &amp; status</v>
          </cell>
          <cell r="G14">
            <v>8</v>
          </cell>
          <cell r="H14">
            <v>8</v>
          </cell>
          <cell r="I14" t="str">
            <v>Butterfly on/off valve</v>
          </cell>
          <cell r="J14" t="str">
            <v>V</v>
          </cell>
          <cell r="K14" t="str">
            <v>BAS vendor</v>
          </cell>
          <cell r="L14">
            <v>0</v>
          </cell>
          <cell r="M14">
            <v>0</v>
          </cell>
          <cell r="N14">
            <v>8</v>
          </cell>
          <cell r="O14">
            <v>8</v>
          </cell>
        </row>
        <row r="15">
          <cell r="A15">
            <v>10</v>
          </cell>
          <cell r="B15" t="str">
            <v>butterfly on/off valves - Chiller bank linking over primary headers command &amp; status</v>
          </cell>
          <cell r="G15">
            <v>8</v>
          </cell>
          <cell r="H15">
            <v>8</v>
          </cell>
          <cell r="I15" t="str">
            <v>Butterfly on/off valve</v>
          </cell>
          <cell r="J15" t="str">
            <v>V</v>
          </cell>
          <cell r="K15" t="str">
            <v>BAS vendor</v>
          </cell>
          <cell r="L15">
            <v>0</v>
          </cell>
          <cell r="M15">
            <v>0</v>
          </cell>
          <cell r="N15">
            <v>8</v>
          </cell>
          <cell r="O15">
            <v>8</v>
          </cell>
        </row>
        <row r="16">
          <cell r="A16">
            <v>11</v>
          </cell>
          <cell r="B16" t="str">
            <v>Temperature at TES outlet</v>
          </cell>
          <cell r="D16">
            <v>4</v>
          </cell>
          <cell r="I16" t="str">
            <v>Immersion type temp sensor + pocket</v>
          </cell>
          <cell r="J16" t="str">
            <v>S</v>
          </cell>
          <cell r="K16" t="str">
            <v>BAS vendor</v>
          </cell>
          <cell r="L16">
            <v>0</v>
          </cell>
          <cell r="M16">
            <v>4</v>
          </cell>
          <cell r="N16">
            <v>0</v>
          </cell>
          <cell r="O16">
            <v>0</v>
          </cell>
        </row>
        <row r="17">
          <cell r="A17">
            <v>12</v>
          </cell>
          <cell r="B17" t="str">
            <v>3-way modulating valve at TES line</v>
          </cell>
          <cell r="F17">
            <v>4</v>
          </cell>
          <cell r="I17" t="str">
            <v xml:space="preserve">3-way valve </v>
          </cell>
          <cell r="J17" t="str">
            <v>V</v>
          </cell>
          <cell r="K17" t="str">
            <v>BAS vendor</v>
          </cell>
          <cell r="L17">
            <v>0</v>
          </cell>
          <cell r="M17">
            <v>0</v>
          </cell>
          <cell r="N17">
            <v>4</v>
          </cell>
          <cell r="O17">
            <v>4</v>
          </cell>
        </row>
        <row r="18">
          <cell r="A18">
            <v>13</v>
          </cell>
          <cell r="B18" t="str">
            <v>Temperature at PHE outlet</v>
          </cell>
          <cell r="D18">
            <v>4</v>
          </cell>
          <cell r="I18" t="str">
            <v>Immersion type temp sensor + pocket</v>
          </cell>
          <cell r="J18" t="str">
            <v>S</v>
          </cell>
          <cell r="K18" t="str">
            <v>BAS vendor</v>
          </cell>
          <cell r="L18">
            <v>0</v>
          </cell>
          <cell r="M18">
            <v>4</v>
          </cell>
          <cell r="N18">
            <v>0</v>
          </cell>
          <cell r="O18">
            <v>0</v>
          </cell>
        </row>
        <row r="19">
          <cell r="A19">
            <v>14</v>
          </cell>
          <cell r="B19" t="str">
            <v>Anti-freeze thermostat</v>
          </cell>
          <cell r="G19">
            <v>4</v>
          </cell>
          <cell r="I19" t="str">
            <v>Anti-freeze thermostat</v>
          </cell>
          <cell r="J19" t="str">
            <v>B</v>
          </cell>
          <cell r="K19" t="str">
            <v>BAS vendor</v>
          </cell>
          <cell r="L19">
            <v>4</v>
          </cell>
          <cell r="M19">
            <v>0</v>
          </cell>
          <cell r="N19">
            <v>0</v>
          </cell>
          <cell r="O19">
            <v>0</v>
          </cell>
        </row>
        <row r="20">
          <cell r="A20">
            <v>15</v>
          </cell>
          <cell r="B20" t="str">
            <v>3-way modulating valve at PHE line</v>
          </cell>
          <cell r="F20">
            <v>4</v>
          </cell>
          <cell r="I20" t="str">
            <v xml:space="preserve">3-way valve </v>
          </cell>
          <cell r="J20" t="str">
            <v>V</v>
          </cell>
          <cell r="K20" t="str">
            <v>BAS vendor</v>
          </cell>
          <cell r="L20">
            <v>0</v>
          </cell>
          <cell r="M20">
            <v>0</v>
          </cell>
          <cell r="N20">
            <v>4</v>
          </cell>
          <cell r="O20">
            <v>4</v>
          </cell>
        </row>
        <row r="21">
          <cell r="B21" t="str">
            <v>Primary chilled Water Pumps - Qty</v>
          </cell>
          <cell r="I21">
            <v>12</v>
          </cell>
          <cell r="K21" t="str">
            <v>This quantity is assumed and can alter based on design &amp; build scheme of the ACMV contractor</v>
          </cell>
          <cell r="L21">
            <v>0</v>
          </cell>
          <cell r="M21">
            <v>0</v>
          </cell>
          <cell r="N21">
            <v>0</v>
          </cell>
          <cell r="O21">
            <v>0</v>
          </cell>
        </row>
        <row r="22">
          <cell r="A22">
            <v>16</v>
          </cell>
          <cell r="B22" t="str">
            <v>pumps ON / OFF command</v>
          </cell>
          <cell r="H22">
            <v>12</v>
          </cell>
          <cell r="I22" t="str">
            <v>Command to chiller panel/ pumps panel</v>
          </cell>
          <cell r="K22" t="str">
            <v>ACMV Vendor</v>
          </cell>
          <cell r="L22">
            <v>0</v>
          </cell>
          <cell r="M22">
            <v>0</v>
          </cell>
          <cell r="N22">
            <v>0</v>
          </cell>
          <cell r="O22">
            <v>0</v>
          </cell>
        </row>
        <row r="23">
          <cell r="A23">
            <v>17</v>
          </cell>
          <cell r="B23" t="str">
            <v>pumps ON / OFF Status</v>
          </cell>
          <cell r="G23">
            <v>12</v>
          </cell>
          <cell r="I23" t="str">
            <v xml:space="preserve">signal from potential-free  contact </v>
          </cell>
          <cell r="K23" t="str">
            <v>ACMV Vendor</v>
          </cell>
          <cell r="L23">
            <v>0</v>
          </cell>
          <cell r="M23">
            <v>0</v>
          </cell>
          <cell r="N23">
            <v>0</v>
          </cell>
          <cell r="O23">
            <v>0</v>
          </cell>
        </row>
        <row r="24">
          <cell r="A24">
            <v>18</v>
          </cell>
          <cell r="B24" t="str">
            <v>pumps Auto / Manual status</v>
          </cell>
          <cell r="G24">
            <v>12</v>
          </cell>
          <cell r="I24" t="str">
            <v xml:space="preserve">signal from potential-free  contact </v>
          </cell>
          <cell r="K24" t="str">
            <v>ACMV Vendor</v>
          </cell>
          <cell r="L24">
            <v>0</v>
          </cell>
          <cell r="M24">
            <v>0</v>
          </cell>
          <cell r="N24">
            <v>0</v>
          </cell>
          <cell r="O24">
            <v>0</v>
          </cell>
        </row>
        <row r="25">
          <cell r="A25">
            <v>19</v>
          </cell>
          <cell r="B25" t="str">
            <v>Flow switch status</v>
          </cell>
          <cell r="G25">
            <v>12</v>
          </cell>
          <cell r="I25" t="str">
            <v>flow switch</v>
          </cell>
          <cell r="J25" t="str">
            <v>B</v>
          </cell>
          <cell r="K25" t="str">
            <v>BAS vendor</v>
          </cell>
          <cell r="L25">
            <v>12</v>
          </cell>
          <cell r="M25">
            <v>0</v>
          </cell>
          <cell r="N25">
            <v>0</v>
          </cell>
          <cell r="O25">
            <v>0</v>
          </cell>
        </row>
        <row r="26">
          <cell r="A26">
            <v>20</v>
          </cell>
          <cell r="B26" t="str">
            <v>pumps trip status</v>
          </cell>
          <cell r="G26">
            <v>12</v>
          </cell>
          <cell r="I26" t="str">
            <v xml:space="preserve">signal from potential-free  contact </v>
          </cell>
          <cell r="K26" t="str">
            <v>ACMV Vendor</v>
          </cell>
          <cell r="L26">
            <v>0</v>
          </cell>
          <cell r="M26">
            <v>0</v>
          </cell>
          <cell r="N26">
            <v>0</v>
          </cell>
          <cell r="O26">
            <v>0</v>
          </cell>
        </row>
        <row r="27">
          <cell r="B27" t="str">
            <v>Secondary chilled Water Pumps - Qty</v>
          </cell>
          <cell r="I27">
            <v>12</v>
          </cell>
          <cell r="K27" t="str">
            <v>This quantity is assumed and can alter based on design &amp; build scheme of the ACMV contractor</v>
          </cell>
          <cell r="L27">
            <v>0</v>
          </cell>
          <cell r="M27">
            <v>0</v>
          </cell>
          <cell r="N27">
            <v>0</v>
          </cell>
          <cell r="O27">
            <v>0</v>
          </cell>
        </row>
        <row r="28">
          <cell r="A28">
            <v>21</v>
          </cell>
          <cell r="B28" t="str">
            <v>pumps VFD monitoring / control</v>
          </cell>
          <cell r="I28" t="str">
            <v>Serial RS486 Bus from VFD panels on Modbus RTU</v>
          </cell>
          <cell r="K28" t="str">
            <v>ACMV Vendor</v>
          </cell>
          <cell r="L28">
            <v>0</v>
          </cell>
          <cell r="M28">
            <v>0</v>
          </cell>
          <cell r="N28">
            <v>0</v>
          </cell>
          <cell r="O28">
            <v>0</v>
          </cell>
        </row>
        <row r="29">
          <cell r="A29">
            <v>22</v>
          </cell>
          <cell r="B29" t="str">
            <v>pumps VFD healthy &amp; run Status</v>
          </cell>
          <cell r="G29">
            <v>12</v>
          </cell>
          <cell r="I29" t="str">
            <v xml:space="preserve">signal from potential-free  contact </v>
          </cell>
          <cell r="K29" t="str">
            <v>ACMV Vendor</v>
          </cell>
          <cell r="L29">
            <v>0</v>
          </cell>
          <cell r="M29">
            <v>0</v>
          </cell>
          <cell r="N29">
            <v>0</v>
          </cell>
          <cell r="O29">
            <v>0</v>
          </cell>
        </row>
        <row r="30">
          <cell r="A30">
            <v>23</v>
          </cell>
          <cell r="B30" t="str">
            <v>pumps VFD trip status</v>
          </cell>
          <cell r="G30">
            <v>12</v>
          </cell>
          <cell r="I30" t="str">
            <v xml:space="preserve">signal from potential-free  contact </v>
          </cell>
          <cell r="K30" t="str">
            <v>ACMV Vendor</v>
          </cell>
          <cell r="L30">
            <v>0</v>
          </cell>
          <cell r="M30">
            <v>0</v>
          </cell>
          <cell r="N30">
            <v>0</v>
          </cell>
          <cell r="O30">
            <v>0</v>
          </cell>
        </row>
        <row r="31">
          <cell r="A31">
            <v>24</v>
          </cell>
          <cell r="B31" t="str">
            <v>pumps VFD speed feedback</v>
          </cell>
          <cell r="E31">
            <v>12</v>
          </cell>
          <cell r="I31" t="str">
            <v>signal from VFD</v>
          </cell>
          <cell r="K31" t="str">
            <v>ACMV Vendor</v>
          </cell>
          <cell r="L31">
            <v>0</v>
          </cell>
          <cell r="M31">
            <v>0</v>
          </cell>
          <cell r="N31">
            <v>0</v>
          </cell>
          <cell r="O31">
            <v>0</v>
          </cell>
        </row>
        <row r="32">
          <cell r="A32">
            <v>25</v>
          </cell>
          <cell r="B32" t="str">
            <v>Temoerature sensor in supply &amp; return headers</v>
          </cell>
          <cell r="D32">
            <v>8</v>
          </cell>
          <cell r="I32" t="str">
            <v>Immersion type temp sensor + pocket</v>
          </cell>
          <cell r="J32" t="str">
            <v>S</v>
          </cell>
          <cell r="K32" t="str">
            <v>BAS vendor</v>
          </cell>
          <cell r="L32">
            <v>0</v>
          </cell>
          <cell r="M32">
            <v>8</v>
          </cell>
          <cell r="N32">
            <v>0</v>
          </cell>
          <cell r="O32">
            <v>0</v>
          </cell>
        </row>
        <row r="33">
          <cell r="A33">
            <v>26</v>
          </cell>
          <cell r="B33" t="str">
            <v>Outside Air RH &amp; Temperature.</v>
          </cell>
          <cell r="D33">
            <v>1</v>
          </cell>
          <cell r="E33">
            <v>1</v>
          </cell>
          <cell r="I33" t="str">
            <v>RH &amp; Temperature sensor</v>
          </cell>
          <cell r="J33" t="str">
            <v>S</v>
          </cell>
          <cell r="K33" t="str">
            <v>BAS vendor</v>
          </cell>
          <cell r="L33">
            <v>0</v>
          </cell>
          <cell r="M33">
            <v>2</v>
          </cell>
          <cell r="N33">
            <v>0</v>
          </cell>
          <cell r="O33">
            <v>0</v>
          </cell>
        </row>
        <row r="34">
          <cell r="A34">
            <v>27</v>
          </cell>
          <cell r="B34" t="str">
            <v>Flow through CHW header</v>
          </cell>
          <cell r="E34">
            <v>1</v>
          </cell>
          <cell r="I34" t="str">
            <v>Flow meter</v>
          </cell>
          <cell r="J34" t="str">
            <v>S</v>
          </cell>
          <cell r="K34" t="str">
            <v>BAS vendor</v>
          </cell>
          <cell r="L34">
            <v>0</v>
          </cell>
          <cell r="M34">
            <v>1</v>
          </cell>
          <cell r="N34">
            <v>0</v>
          </cell>
          <cell r="O34">
            <v>0</v>
          </cell>
        </row>
        <row r="35">
          <cell r="B35" t="str">
            <v>Spare 10%</v>
          </cell>
          <cell r="D35">
            <v>4</v>
          </cell>
          <cell r="E35">
            <v>2</v>
          </cell>
          <cell r="F35">
            <v>1</v>
          </cell>
          <cell r="G35">
            <v>13</v>
          </cell>
          <cell r="H35">
            <v>5</v>
          </cell>
        </row>
        <row r="36">
          <cell r="A36" t="str">
            <v>AX</v>
          </cell>
          <cell r="B36" t="str">
            <v xml:space="preserve">Total I/O For Chiller Plant </v>
          </cell>
          <cell r="D36">
            <v>37</v>
          </cell>
          <cell r="E36">
            <v>16</v>
          </cell>
          <cell r="F36">
            <v>9</v>
          </cell>
          <cell r="G36">
            <v>137</v>
          </cell>
          <cell r="H36">
            <v>49</v>
          </cell>
          <cell r="I36">
            <v>1</v>
          </cell>
          <cell r="L36">
            <v>24</v>
          </cell>
          <cell r="M36">
            <v>35</v>
          </cell>
          <cell r="N36">
            <v>24</v>
          </cell>
          <cell r="O36">
            <v>24</v>
          </cell>
        </row>
        <row r="37">
          <cell r="A37" t="str">
            <v>B</v>
          </cell>
          <cell r="B37" t="str">
            <v>Comfort Air Handling Units with TFA</v>
          </cell>
        </row>
        <row r="38">
          <cell r="B38" t="str">
            <v>Air Handling Units - Qty</v>
          </cell>
          <cell r="I38">
            <v>1</v>
          </cell>
        </row>
        <row r="39">
          <cell r="A39">
            <v>1</v>
          </cell>
          <cell r="B39" t="str">
            <v>AHU ON/OFF Command</v>
          </cell>
          <cell r="H39">
            <v>1</v>
          </cell>
          <cell r="I39" t="str">
            <v>Command to AHU panel</v>
          </cell>
          <cell r="K39" t="str">
            <v>ACMV Vendor</v>
          </cell>
          <cell r="L39">
            <v>0</v>
          </cell>
          <cell r="M39">
            <v>0</v>
          </cell>
          <cell r="N39">
            <v>0</v>
          </cell>
          <cell r="O39">
            <v>0</v>
          </cell>
        </row>
        <row r="40">
          <cell r="A40">
            <v>2</v>
          </cell>
          <cell r="B40" t="str">
            <v>AHU status - DP switch across fan</v>
          </cell>
          <cell r="G40">
            <v>1</v>
          </cell>
          <cell r="I40" t="str">
            <v>DP switch</v>
          </cell>
          <cell r="J40" t="str">
            <v>B</v>
          </cell>
          <cell r="K40" t="str">
            <v>BAS vendor</v>
          </cell>
          <cell r="L40">
            <v>106</v>
          </cell>
          <cell r="M40">
            <v>0</v>
          </cell>
          <cell r="N40">
            <v>0</v>
          </cell>
          <cell r="O40">
            <v>0</v>
          </cell>
        </row>
        <row r="41">
          <cell r="A41">
            <v>3</v>
          </cell>
          <cell r="B41" t="str">
            <v>AHU Auto/Manual Command</v>
          </cell>
          <cell r="H41">
            <v>1</v>
          </cell>
          <cell r="I41" t="str">
            <v>Command to AHU panel</v>
          </cell>
          <cell r="K41" t="str">
            <v>ACMV Vendor</v>
          </cell>
          <cell r="L41">
            <v>0</v>
          </cell>
          <cell r="M41">
            <v>0</v>
          </cell>
          <cell r="N41">
            <v>0</v>
          </cell>
          <cell r="O41">
            <v>0</v>
          </cell>
        </row>
        <row r="42">
          <cell r="A42">
            <v>4</v>
          </cell>
          <cell r="B42" t="str">
            <v>Return air Temperature Sensor</v>
          </cell>
          <cell r="D42">
            <v>1</v>
          </cell>
          <cell r="I42" t="str">
            <v>Duct type Temperature sensor</v>
          </cell>
          <cell r="J42" t="str">
            <v>S</v>
          </cell>
          <cell r="K42" t="str">
            <v>BAS vendor</v>
          </cell>
          <cell r="L42">
            <v>0</v>
          </cell>
          <cell r="M42">
            <v>106</v>
          </cell>
          <cell r="N42">
            <v>0</v>
          </cell>
          <cell r="O42">
            <v>0</v>
          </cell>
        </row>
        <row r="43">
          <cell r="A43">
            <v>5</v>
          </cell>
          <cell r="B43" t="str">
            <v>Filter status - DP switch across filter</v>
          </cell>
          <cell r="G43">
            <v>1</v>
          </cell>
          <cell r="I43" t="str">
            <v>DP switch</v>
          </cell>
          <cell r="J43" t="str">
            <v>B</v>
          </cell>
          <cell r="K43" t="str">
            <v>BAS vendor</v>
          </cell>
          <cell r="L43">
            <v>106</v>
          </cell>
          <cell r="M43">
            <v>0</v>
          </cell>
          <cell r="N43">
            <v>0</v>
          </cell>
          <cell r="O43">
            <v>0</v>
          </cell>
        </row>
        <row r="44">
          <cell r="A44">
            <v>6</v>
          </cell>
          <cell r="B44" t="str">
            <v>CHW 2-Way Valve Control</v>
          </cell>
          <cell r="F44">
            <v>1</v>
          </cell>
          <cell r="I44" t="str">
            <v>2-way auto balancing CHW valve</v>
          </cell>
          <cell r="J44" t="str">
            <v>V</v>
          </cell>
          <cell r="K44" t="str">
            <v>BAS vendor</v>
          </cell>
          <cell r="L44">
            <v>0</v>
          </cell>
          <cell r="M44">
            <v>0</v>
          </cell>
          <cell r="N44">
            <v>106</v>
          </cell>
          <cell r="O44">
            <v>106</v>
          </cell>
        </row>
        <row r="45">
          <cell r="A45">
            <v>7</v>
          </cell>
          <cell r="B45" t="str">
            <v>Flow of CHW from auto balancing valve</v>
          </cell>
          <cell r="E45">
            <v>1</v>
          </cell>
          <cell r="I45" t="str">
            <v>2-way auto balancing CHW valve</v>
          </cell>
          <cell r="J45" t="str">
            <v>V</v>
          </cell>
          <cell r="K45" t="str">
            <v>BAS vendor</v>
          </cell>
          <cell r="L45">
            <v>0</v>
          </cell>
          <cell r="M45">
            <v>0</v>
          </cell>
        </row>
        <row r="46">
          <cell r="A46">
            <v>8</v>
          </cell>
          <cell r="B46" t="str">
            <v>Matched pair temperature sensors at CHW in/outlet</v>
          </cell>
          <cell r="D46">
            <v>2</v>
          </cell>
          <cell r="I46" t="str">
            <v>Immersion type temp sensor+pocket</v>
          </cell>
          <cell r="J46" t="str">
            <v>S</v>
          </cell>
          <cell r="K46" t="str">
            <v>BAS vendor</v>
          </cell>
          <cell r="L46">
            <v>0</v>
          </cell>
          <cell r="M46">
            <v>212</v>
          </cell>
          <cell r="N46">
            <v>0</v>
          </cell>
          <cell r="O46">
            <v>0</v>
          </cell>
        </row>
        <row r="47">
          <cell r="A47">
            <v>9</v>
          </cell>
          <cell r="B47" t="str">
            <v>Fire trip status</v>
          </cell>
          <cell r="G47">
            <v>1</v>
          </cell>
          <cell r="I47" t="str">
            <v>signal from DSD &amp; FAS</v>
          </cell>
          <cell r="K47" t="str">
            <v>BAS vendor</v>
          </cell>
          <cell r="L47">
            <v>0</v>
          </cell>
          <cell r="M47">
            <v>0</v>
          </cell>
          <cell r="N47">
            <v>0</v>
          </cell>
          <cell r="O47">
            <v>0</v>
          </cell>
        </row>
        <row r="48">
          <cell r="A48">
            <v>10</v>
          </cell>
          <cell r="B48" t="str">
            <v>Fire Damper Status - SA, RA, reset command</v>
          </cell>
          <cell r="G48">
            <v>2</v>
          </cell>
          <cell r="H48">
            <v>1</v>
          </cell>
          <cell r="I48" t="str">
            <v>aux.contact - fire damper actuators</v>
          </cell>
          <cell r="J48" t="str">
            <v>D</v>
          </cell>
          <cell r="K48" t="str">
            <v>BAS vendor</v>
          </cell>
          <cell r="L48">
            <v>0</v>
          </cell>
          <cell r="M48">
            <v>0</v>
          </cell>
          <cell r="N48">
            <v>212</v>
          </cell>
          <cell r="O48">
            <v>0</v>
          </cell>
        </row>
        <row r="49">
          <cell r="A49">
            <v>11</v>
          </cell>
          <cell r="B49" t="str">
            <v xml:space="preserve">Pressurization Damper Status&amp; command - Lift lobby </v>
          </cell>
          <cell r="G49">
            <v>1</v>
          </cell>
          <cell r="H49">
            <v>1</v>
          </cell>
          <cell r="I49" t="str">
            <v>combined status from IRM</v>
          </cell>
          <cell r="J49" t="str">
            <v>D</v>
          </cell>
          <cell r="K49" t="str">
            <v>BAS vendor</v>
          </cell>
          <cell r="L49">
            <v>0</v>
          </cell>
          <cell r="M49">
            <v>0</v>
          </cell>
          <cell r="N49">
            <v>112</v>
          </cell>
          <cell r="O49">
            <v>0</v>
          </cell>
        </row>
        <row r="50">
          <cell r="A50">
            <v>12</v>
          </cell>
          <cell r="B50" t="str">
            <v>CO2 sensor</v>
          </cell>
          <cell r="E50">
            <v>1</v>
          </cell>
          <cell r="I50" t="str">
            <v>CO2 sensor</v>
          </cell>
          <cell r="J50" t="str">
            <v>S</v>
          </cell>
          <cell r="K50" t="str">
            <v>BAS vendor</v>
          </cell>
          <cell r="L50">
            <v>0</v>
          </cell>
          <cell r="M50">
            <v>102</v>
          </cell>
          <cell r="N50">
            <v>0</v>
          </cell>
          <cell r="O50">
            <v>0</v>
          </cell>
        </row>
        <row r="51">
          <cell r="A51">
            <v>13</v>
          </cell>
          <cell r="B51" t="str">
            <v>FA/EA damper modulation</v>
          </cell>
          <cell r="F51">
            <v>1</v>
          </cell>
          <cell r="I51" t="str">
            <v>auxiliary contact - damper actuator</v>
          </cell>
          <cell r="J51" t="str">
            <v>D</v>
          </cell>
          <cell r="K51" t="str">
            <v>BAS vendor</v>
          </cell>
          <cell r="L51">
            <v>0</v>
          </cell>
          <cell r="M51">
            <v>0</v>
          </cell>
          <cell r="N51">
            <v>106</v>
          </cell>
          <cell r="O51">
            <v>0</v>
          </cell>
        </row>
        <row r="52">
          <cell r="A52">
            <v>14</v>
          </cell>
          <cell r="B52" t="str">
            <v>TFA ON/OFF Command, status</v>
          </cell>
          <cell r="G52">
            <v>1</v>
          </cell>
          <cell r="H52">
            <v>1</v>
          </cell>
          <cell r="I52" t="str">
            <v>Command to AHU panel</v>
          </cell>
          <cell r="K52" t="str">
            <v>ACMV Vendor</v>
          </cell>
          <cell r="L52">
            <v>0</v>
          </cell>
          <cell r="M52">
            <v>0</v>
          </cell>
          <cell r="N52">
            <v>0</v>
          </cell>
          <cell r="O52">
            <v>0</v>
          </cell>
        </row>
        <row r="53">
          <cell r="A53">
            <v>15</v>
          </cell>
          <cell r="B53" t="str">
            <v>MCC power supply status</v>
          </cell>
          <cell r="G53">
            <v>1</v>
          </cell>
          <cell r="I53" t="str">
            <v>signal from potential free contact</v>
          </cell>
          <cell r="K53" t="str">
            <v>ACMV Vendor</v>
          </cell>
          <cell r="L53">
            <v>0</v>
          </cell>
          <cell r="M53">
            <v>0</v>
          </cell>
          <cell r="N53">
            <v>0</v>
          </cell>
          <cell r="O53">
            <v>0</v>
          </cell>
        </row>
        <row r="54">
          <cell r="A54">
            <v>16</v>
          </cell>
          <cell r="B54" t="str">
            <v>Smoke extraction dampers</v>
          </cell>
          <cell r="G54">
            <v>1</v>
          </cell>
          <cell r="H54">
            <v>1</v>
          </cell>
          <cell r="I54" t="str">
            <v>damper actuators</v>
          </cell>
          <cell r="J54" t="str">
            <v>D</v>
          </cell>
          <cell r="K54" t="str">
            <v>BAS vendor</v>
          </cell>
          <cell r="L54">
            <v>0</v>
          </cell>
          <cell r="M54">
            <v>0</v>
          </cell>
          <cell r="N54">
            <v>60</v>
          </cell>
          <cell r="O54">
            <v>0</v>
          </cell>
        </row>
        <row r="55">
          <cell r="B55" t="str">
            <v>Spare 10%</v>
          </cell>
          <cell r="D55">
            <v>1</v>
          </cell>
          <cell r="E55">
            <v>1</v>
          </cell>
          <cell r="F55">
            <v>1</v>
          </cell>
          <cell r="G55">
            <v>1</v>
          </cell>
          <cell r="H55">
            <v>1</v>
          </cell>
        </row>
        <row r="56">
          <cell r="A56" t="str">
            <v>BX</v>
          </cell>
          <cell r="B56" t="str">
            <v>Total I/O for AHU with TFA</v>
          </cell>
          <cell r="D56">
            <v>4</v>
          </cell>
          <cell r="E56">
            <v>3</v>
          </cell>
          <cell r="F56">
            <v>3</v>
          </cell>
          <cell r="G56">
            <v>10</v>
          </cell>
          <cell r="H56">
            <v>7</v>
          </cell>
          <cell r="I56">
            <v>106</v>
          </cell>
          <cell r="L56">
            <v>212</v>
          </cell>
          <cell r="M56">
            <v>420</v>
          </cell>
          <cell r="N56">
            <v>596</v>
          </cell>
          <cell r="O56">
            <v>106</v>
          </cell>
        </row>
        <row r="57">
          <cell r="B57" t="str">
            <v>Total I/O for AHU with TFAs in complex</v>
          </cell>
          <cell r="D57">
            <v>424</v>
          </cell>
          <cell r="E57">
            <v>318</v>
          </cell>
          <cell r="F57">
            <v>318</v>
          </cell>
          <cell r="G57">
            <v>1060</v>
          </cell>
          <cell r="H57">
            <v>742</v>
          </cell>
          <cell r="K57" t="str">
            <v>This quantity is assumed and can alter based on design &amp; build scheme of the ACMV contractor</v>
          </cell>
        </row>
        <row r="58">
          <cell r="A58" t="str">
            <v>C</v>
          </cell>
          <cell r="B58" t="str">
            <v>Energy metering/Ventilation/Lighting</v>
          </cell>
          <cell r="L58">
            <v>0</v>
          </cell>
          <cell r="M58">
            <v>0</v>
          </cell>
          <cell r="N58">
            <v>0</v>
          </cell>
          <cell r="O58">
            <v>0</v>
          </cell>
        </row>
        <row r="59">
          <cell r="B59" t="str">
            <v>Electrical energy meters - pulse input</v>
          </cell>
          <cell r="G59">
            <v>6</v>
          </cell>
          <cell r="I59" t="str">
            <v>From EEMs</v>
          </cell>
          <cell r="K59" t="str">
            <v>Electrical Vendor</v>
          </cell>
          <cell r="L59">
            <v>0</v>
          </cell>
          <cell r="M59">
            <v>0</v>
          </cell>
          <cell r="N59">
            <v>0</v>
          </cell>
          <cell r="O59">
            <v>0</v>
          </cell>
        </row>
        <row r="60">
          <cell r="B60" t="str">
            <v>Pantry Exhaust Fan - Qty</v>
          </cell>
          <cell r="I60">
            <v>2</v>
          </cell>
          <cell r="L60">
            <v>0</v>
          </cell>
          <cell r="M60">
            <v>0</v>
          </cell>
          <cell r="N60">
            <v>0</v>
          </cell>
          <cell r="O60">
            <v>0</v>
          </cell>
        </row>
        <row r="61">
          <cell r="A61">
            <v>1</v>
          </cell>
          <cell r="B61" t="str">
            <v>Fan ON / OFF Command</v>
          </cell>
          <cell r="H61">
            <v>2</v>
          </cell>
          <cell r="I61" t="str">
            <v>Command to contactor panel</v>
          </cell>
          <cell r="K61" t="str">
            <v>ACMV Vendor</v>
          </cell>
          <cell r="L61">
            <v>0</v>
          </cell>
          <cell r="M61">
            <v>0</v>
          </cell>
          <cell r="N61">
            <v>0</v>
          </cell>
          <cell r="O61">
            <v>0</v>
          </cell>
        </row>
        <row r="62">
          <cell r="A62">
            <v>2</v>
          </cell>
          <cell r="B62" t="str">
            <v>Fan ON / OFF Status</v>
          </cell>
          <cell r="G62">
            <v>2</v>
          </cell>
          <cell r="I62" t="str">
            <v>signal from potential free contact</v>
          </cell>
          <cell r="K62" t="str">
            <v>ACMV Vendor</v>
          </cell>
          <cell r="L62">
            <v>0</v>
          </cell>
          <cell r="M62">
            <v>0</v>
          </cell>
          <cell r="N62">
            <v>0</v>
          </cell>
          <cell r="O62">
            <v>0</v>
          </cell>
        </row>
        <row r="63">
          <cell r="B63" t="str">
            <v>Toilet Exhaust Fan  - Qty</v>
          </cell>
          <cell r="I63">
            <v>2</v>
          </cell>
          <cell r="L63">
            <v>0</v>
          </cell>
          <cell r="M63">
            <v>0</v>
          </cell>
          <cell r="N63">
            <v>0</v>
          </cell>
          <cell r="O63">
            <v>0</v>
          </cell>
        </row>
        <row r="64">
          <cell r="A64">
            <v>3</v>
          </cell>
          <cell r="B64" t="str">
            <v>Fan ON / OFF Command</v>
          </cell>
          <cell r="H64">
            <v>2</v>
          </cell>
          <cell r="I64" t="str">
            <v>Command to contactor panel</v>
          </cell>
          <cell r="K64" t="str">
            <v>ACMV Vendor</v>
          </cell>
          <cell r="L64">
            <v>0</v>
          </cell>
          <cell r="M64">
            <v>0</v>
          </cell>
          <cell r="N64">
            <v>0</v>
          </cell>
          <cell r="O64">
            <v>0</v>
          </cell>
        </row>
        <row r="65">
          <cell r="A65">
            <v>4</v>
          </cell>
          <cell r="B65" t="str">
            <v>Fan ON / OFF Status</v>
          </cell>
          <cell r="G65">
            <v>2</v>
          </cell>
          <cell r="I65" t="str">
            <v>signal from potential free contact</v>
          </cell>
          <cell r="K65" t="str">
            <v>ACMV Vendor</v>
          </cell>
          <cell r="L65">
            <v>0</v>
          </cell>
          <cell r="M65">
            <v>0</v>
          </cell>
          <cell r="N65">
            <v>0</v>
          </cell>
          <cell r="O65">
            <v>0</v>
          </cell>
        </row>
        <row r="66">
          <cell r="B66" t="str">
            <v>Electrical system</v>
          </cell>
          <cell r="L66">
            <v>0</v>
          </cell>
          <cell r="M66">
            <v>0</v>
          </cell>
          <cell r="N66">
            <v>0</v>
          </cell>
          <cell r="O66">
            <v>0</v>
          </cell>
        </row>
        <row r="67">
          <cell r="A67">
            <v>6</v>
          </cell>
          <cell r="B67" t="str">
            <v>LDB,PDB status - incomer MCCB</v>
          </cell>
          <cell r="G67">
            <v>4</v>
          </cell>
          <cell r="I67" t="str">
            <v>signal from potential free contact</v>
          </cell>
          <cell r="K67" t="str">
            <v>Electrical Vendor</v>
          </cell>
          <cell r="L67">
            <v>0</v>
          </cell>
          <cell r="M67">
            <v>0</v>
          </cell>
          <cell r="N67">
            <v>0</v>
          </cell>
          <cell r="O67">
            <v>0</v>
          </cell>
        </row>
        <row r="68">
          <cell r="A68">
            <v>7</v>
          </cell>
          <cell r="B68" t="str">
            <v>Sprinkler line pressure switch</v>
          </cell>
          <cell r="G68">
            <v>2</v>
          </cell>
          <cell r="I68" t="str">
            <v>pressure switch</v>
          </cell>
          <cell r="J68" t="str">
            <v>B</v>
          </cell>
          <cell r="K68" t="str">
            <v>BAS vendor</v>
          </cell>
          <cell r="L68">
            <v>70</v>
          </cell>
          <cell r="M68">
            <v>0</v>
          </cell>
          <cell r="N68">
            <v>0</v>
          </cell>
          <cell r="O68">
            <v>0</v>
          </cell>
        </row>
        <row r="69">
          <cell r="A69">
            <v>8</v>
          </cell>
          <cell r="B69" t="str">
            <v>Lighting control &amp; local override command</v>
          </cell>
          <cell r="G69">
            <v>8</v>
          </cell>
          <cell r="H69">
            <v>8</v>
          </cell>
          <cell r="I69" t="str">
            <v>PIRs in toilets, buttons in utility rooms</v>
          </cell>
          <cell r="J69" t="str">
            <v>S</v>
          </cell>
          <cell r="K69" t="str">
            <v>BAS vendor</v>
          </cell>
          <cell r="M69">
            <v>280</v>
          </cell>
          <cell r="N69">
            <v>0</v>
          </cell>
          <cell r="O69">
            <v>0</v>
          </cell>
        </row>
        <row r="70">
          <cell r="B70" t="str">
            <v>Spare 10%</v>
          </cell>
          <cell r="D70">
            <v>0</v>
          </cell>
          <cell r="E70">
            <v>0</v>
          </cell>
          <cell r="F70">
            <v>0</v>
          </cell>
          <cell r="G70">
            <v>3</v>
          </cell>
          <cell r="H70">
            <v>2</v>
          </cell>
          <cell r="L70">
            <v>0</v>
          </cell>
          <cell r="M70">
            <v>0</v>
          </cell>
          <cell r="N70">
            <v>0</v>
          </cell>
          <cell r="O70">
            <v>0</v>
          </cell>
        </row>
        <row r="71">
          <cell r="A71" t="str">
            <v>CX</v>
          </cell>
          <cell r="B71" t="str">
            <v>Total I/O for Ventilation / lighting system</v>
          </cell>
          <cell r="D71">
            <v>0</v>
          </cell>
          <cell r="E71">
            <v>0</v>
          </cell>
          <cell r="F71">
            <v>0</v>
          </cell>
          <cell r="G71">
            <v>27</v>
          </cell>
          <cell r="H71">
            <v>14</v>
          </cell>
          <cell r="I71">
            <v>35</v>
          </cell>
          <cell r="L71">
            <v>70</v>
          </cell>
          <cell r="M71">
            <v>280</v>
          </cell>
          <cell r="N71">
            <v>0</v>
          </cell>
          <cell r="O71">
            <v>0</v>
          </cell>
        </row>
        <row r="72">
          <cell r="B72" t="str">
            <v>Total I/Os for Energy metering/Vent/Ltng</v>
          </cell>
          <cell r="D72">
            <v>0</v>
          </cell>
          <cell r="E72">
            <v>0</v>
          </cell>
          <cell r="F72">
            <v>0</v>
          </cell>
          <cell r="G72">
            <v>945</v>
          </cell>
          <cell r="H72">
            <v>490</v>
          </cell>
          <cell r="K72" t="str">
            <v>This quantity is assumed and can alter based on design &amp; build scheme of the ACMV contractor</v>
          </cell>
          <cell r="N72">
            <v>0</v>
          </cell>
          <cell r="O72">
            <v>0</v>
          </cell>
        </row>
        <row r="73">
          <cell r="A73" t="str">
            <v>D</v>
          </cell>
          <cell r="B73" t="str">
            <v>Car Park Ventilation Fans - Qty</v>
          </cell>
          <cell r="I73">
            <v>2</v>
          </cell>
          <cell r="K73" t="str">
            <v>This quantity is assumed and can alter based on design &amp; build scheme of the ACMV contractor</v>
          </cell>
          <cell r="L73">
            <v>0</v>
          </cell>
          <cell r="M73">
            <v>0</v>
          </cell>
          <cell r="N73">
            <v>0</v>
          </cell>
          <cell r="O73">
            <v>0</v>
          </cell>
        </row>
        <row r="74">
          <cell r="A74">
            <v>1</v>
          </cell>
          <cell r="B74" t="str">
            <v>Fan ON / OFF Command</v>
          </cell>
          <cell r="H74">
            <v>2</v>
          </cell>
          <cell r="I74" t="str">
            <v>Command to Ventilation panel</v>
          </cell>
          <cell r="K74" t="str">
            <v>ACMV Vendor</v>
          </cell>
          <cell r="L74">
            <v>0</v>
          </cell>
          <cell r="M74">
            <v>0</v>
          </cell>
          <cell r="N74">
            <v>0</v>
          </cell>
          <cell r="O74">
            <v>0</v>
          </cell>
        </row>
        <row r="75">
          <cell r="A75">
            <v>2</v>
          </cell>
          <cell r="B75" t="str">
            <v>Fan ON / OFF Status</v>
          </cell>
          <cell r="G75">
            <v>2</v>
          </cell>
          <cell r="I75" t="str">
            <v>signal from potential free contact</v>
          </cell>
          <cell r="K75" t="str">
            <v>ACMV Vendor</v>
          </cell>
          <cell r="L75">
            <v>0</v>
          </cell>
          <cell r="M75">
            <v>0</v>
          </cell>
          <cell r="N75">
            <v>0</v>
          </cell>
          <cell r="O75">
            <v>0</v>
          </cell>
        </row>
        <row r="76">
          <cell r="A76">
            <v>3</v>
          </cell>
          <cell r="B76" t="str">
            <v>Fan trip Status</v>
          </cell>
          <cell r="G76">
            <v>2</v>
          </cell>
          <cell r="I76" t="str">
            <v>signal from potential free contact</v>
          </cell>
          <cell r="K76" t="str">
            <v>ACMV Vendor</v>
          </cell>
          <cell r="L76">
            <v>0</v>
          </cell>
          <cell r="M76">
            <v>0</v>
          </cell>
          <cell r="N76">
            <v>0</v>
          </cell>
          <cell r="O76">
            <v>0</v>
          </cell>
        </row>
        <row r="77">
          <cell r="A77">
            <v>4</v>
          </cell>
          <cell r="B77" t="str">
            <v>Fan A/M Status</v>
          </cell>
          <cell r="G77">
            <v>2</v>
          </cell>
          <cell r="I77" t="str">
            <v>Signal from potential free contact.</v>
          </cell>
          <cell r="K77" t="str">
            <v>ACMV Vendor</v>
          </cell>
          <cell r="L77">
            <v>0</v>
          </cell>
          <cell r="M77">
            <v>0</v>
          </cell>
          <cell r="N77">
            <v>0</v>
          </cell>
          <cell r="O77">
            <v>0</v>
          </cell>
        </row>
        <row r="78">
          <cell r="A78">
            <v>5</v>
          </cell>
          <cell r="B78" t="str">
            <v>Carbon Monoxide Sensor</v>
          </cell>
          <cell r="E78">
            <v>2</v>
          </cell>
          <cell r="I78" t="str">
            <v xml:space="preserve">CO Sensor </v>
          </cell>
          <cell r="J78" t="str">
            <v>S</v>
          </cell>
          <cell r="K78" t="str">
            <v>BAS vendor</v>
          </cell>
          <cell r="L78">
            <v>0</v>
          </cell>
          <cell r="M78">
            <v>8</v>
          </cell>
          <cell r="N78">
            <v>0</v>
          </cell>
          <cell r="O78">
            <v>0</v>
          </cell>
        </row>
        <row r="79">
          <cell r="A79">
            <v>6</v>
          </cell>
          <cell r="B79" t="str">
            <v>MCC power supply status</v>
          </cell>
          <cell r="G79">
            <v>2</v>
          </cell>
          <cell r="I79" t="str">
            <v>signal from potential free contact.</v>
          </cell>
          <cell r="K79" t="str">
            <v>ACMV Vendor</v>
          </cell>
          <cell r="L79">
            <v>0</v>
          </cell>
          <cell r="M79">
            <v>0</v>
          </cell>
          <cell r="N79">
            <v>0</v>
          </cell>
          <cell r="O79">
            <v>0</v>
          </cell>
        </row>
        <row r="80">
          <cell r="B80" t="str">
            <v>Spare 10%</v>
          </cell>
          <cell r="D80">
            <v>0</v>
          </cell>
          <cell r="E80">
            <v>1</v>
          </cell>
          <cell r="F80">
            <v>0</v>
          </cell>
          <cell r="G80">
            <v>1</v>
          </cell>
          <cell r="H80">
            <v>1</v>
          </cell>
          <cell r="L80">
            <v>0</v>
          </cell>
          <cell r="M80">
            <v>0</v>
          </cell>
          <cell r="N80">
            <v>0</v>
          </cell>
          <cell r="O80">
            <v>0</v>
          </cell>
        </row>
        <row r="81">
          <cell r="A81" t="str">
            <v>DX</v>
          </cell>
          <cell r="B81" t="str">
            <v>Total I/O for Car Park ventilation</v>
          </cell>
          <cell r="D81">
            <v>0</v>
          </cell>
          <cell r="E81">
            <v>3</v>
          </cell>
          <cell r="F81">
            <v>0</v>
          </cell>
          <cell r="G81">
            <v>9</v>
          </cell>
          <cell r="H81">
            <v>3</v>
          </cell>
          <cell r="I81">
            <v>4</v>
          </cell>
          <cell r="L81">
            <v>0</v>
          </cell>
          <cell r="M81">
            <v>8</v>
          </cell>
          <cell r="N81">
            <v>0</v>
          </cell>
          <cell r="O81">
            <v>0</v>
          </cell>
        </row>
        <row r="82">
          <cell r="B82" t="str">
            <v>Total I/O for Car Park vent in complex</v>
          </cell>
          <cell r="D82">
            <v>0</v>
          </cell>
          <cell r="E82">
            <v>12</v>
          </cell>
          <cell r="F82">
            <v>0</v>
          </cell>
          <cell r="G82">
            <v>36</v>
          </cell>
          <cell r="H82">
            <v>12</v>
          </cell>
          <cell r="K82" t="str">
            <v>This quantity is assumed and can alter based on design &amp; build scheme of the ACMV contractor</v>
          </cell>
          <cell r="L82">
            <v>0</v>
          </cell>
          <cell r="N82">
            <v>0</v>
          </cell>
          <cell r="O82">
            <v>0</v>
          </cell>
        </row>
        <row r="83">
          <cell r="A83" t="str">
            <v>E</v>
          </cell>
          <cell r="B83" t="str">
            <v>Lifts monitoring &amp; Liftshaft pressurization fans- Qty</v>
          </cell>
          <cell r="I83">
            <v>1</v>
          </cell>
          <cell r="K83" t="str">
            <v>This quantity is assumed and can alter based on design &amp; build scheme of the ACMV contractor</v>
          </cell>
          <cell r="L83">
            <v>0</v>
          </cell>
          <cell r="M83">
            <v>0</v>
          </cell>
          <cell r="N83">
            <v>0</v>
          </cell>
          <cell r="O83">
            <v>0</v>
          </cell>
        </row>
        <row r="84">
          <cell r="A84">
            <v>1</v>
          </cell>
          <cell r="B84" t="str">
            <v>Fan ON / OFF Command</v>
          </cell>
          <cell r="H84">
            <v>5</v>
          </cell>
          <cell r="I84" t="str">
            <v>Command to fan panel</v>
          </cell>
          <cell r="K84" t="str">
            <v>ACMV Vendor</v>
          </cell>
          <cell r="L84">
            <v>0</v>
          </cell>
          <cell r="M84">
            <v>0</v>
          </cell>
          <cell r="N84">
            <v>0</v>
          </cell>
          <cell r="O84">
            <v>0</v>
          </cell>
        </row>
        <row r="85">
          <cell r="A85">
            <v>2</v>
          </cell>
          <cell r="B85" t="str">
            <v>Fan ON / OFF Status</v>
          </cell>
          <cell r="G85">
            <v>5</v>
          </cell>
          <cell r="I85" t="str">
            <v>signal from potential free contact</v>
          </cell>
          <cell r="K85" t="str">
            <v>ACMV Vendor</v>
          </cell>
          <cell r="L85">
            <v>0</v>
          </cell>
          <cell r="M85">
            <v>0</v>
          </cell>
          <cell r="N85">
            <v>0</v>
          </cell>
          <cell r="O85">
            <v>0</v>
          </cell>
        </row>
        <row r="86">
          <cell r="B86" t="str">
            <v>Lift contacts monitoring - Qty</v>
          </cell>
          <cell r="I86">
            <v>5</v>
          </cell>
          <cell r="L86">
            <v>0</v>
          </cell>
          <cell r="M86">
            <v>0</v>
          </cell>
          <cell r="N86">
            <v>0</v>
          </cell>
          <cell r="O86">
            <v>0</v>
          </cell>
        </row>
        <row r="87">
          <cell r="A87">
            <v>5</v>
          </cell>
          <cell r="B87" t="str">
            <v>Elevator trip, Alarm, fire man switch</v>
          </cell>
          <cell r="G87">
            <v>5</v>
          </cell>
          <cell r="I87" t="str">
            <v>signal from potential free contact</v>
          </cell>
          <cell r="K87" t="str">
            <v>Lifts vendor</v>
          </cell>
          <cell r="L87">
            <v>0</v>
          </cell>
          <cell r="M87">
            <v>0</v>
          </cell>
          <cell r="N87">
            <v>0</v>
          </cell>
          <cell r="O87">
            <v>0</v>
          </cell>
        </row>
        <row r="88">
          <cell r="A88">
            <v>6</v>
          </cell>
          <cell r="B88" t="str">
            <v>Elevator Floor Status</v>
          </cell>
          <cell r="G88">
            <v>50</v>
          </cell>
          <cell r="I88" t="str">
            <v>Signal from potential free contact</v>
          </cell>
          <cell r="K88" t="str">
            <v>Lifts vendor</v>
          </cell>
          <cell r="L88">
            <v>0</v>
          </cell>
          <cell r="M88">
            <v>0</v>
          </cell>
          <cell r="N88">
            <v>0</v>
          </cell>
          <cell r="O88">
            <v>0</v>
          </cell>
        </row>
        <row r="89">
          <cell r="A89">
            <v>7</v>
          </cell>
          <cell r="B89" t="str">
            <v>MCC power supply status</v>
          </cell>
          <cell r="G89">
            <v>1</v>
          </cell>
          <cell r="I89" t="str">
            <v>signal from potential free contact</v>
          </cell>
          <cell r="K89" t="str">
            <v>ACMV Vendor</v>
          </cell>
          <cell r="L89">
            <v>0</v>
          </cell>
          <cell r="M89">
            <v>0</v>
          </cell>
          <cell r="N89">
            <v>0</v>
          </cell>
          <cell r="O89">
            <v>0</v>
          </cell>
        </row>
        <row r="90">
          <cell r="A90">
            <v>8</v>
          </cell>
          <cell r="B90" t="str">
            <v>Spare 10%</v>
          </cell>
          <cell r="D90">
            <v>0</v>
          </cell>
          <cell r="E90">
            <v>0</v>
          </cell>
          <cell r="F90">
            <v>0</v>
          </cell>
          <cell r="G90">
            <v>7</v>
          </cell>
          <cell r="H90">
            <v>1</v>
          </cell>
          <cell r="L90">
            <v>0</v>
          </cell>
          <cell r="M90">
            <v>0</v>
          </cell>
          <cell r="N90">
            <v>0</v>
          </cell>
          <cell r="O90">
            <v>0</v>
          </cell>
        </row>
        <row r="91">
          <cell r="A91" t="str">
            <v>EX</v>
          </cell>
          <cell r="B91" t="str">
            <v>Total I/O for Lifts monitoring &amp; liftshaft pressurization</v>
          </cell>
          <cell r="D91">
            <v>0</v>
          </cell>
          <cell r="E91">
            <v>0</v>
          </cell>
          <cell r="F91">
            <v>0</v>
          </cell>
          <cell r="G91">
            <v>68</v>
          </cell>
          <cell r="H91">
            <v>6</v>
          </cell>
          <cell r="I91">
            <v>5</v>
          </cell>
        </row>
        <row r="92">
          <cell r="B92" t="str">
            <v>Total I/O for Lifts in complex</v>
          </cell>
          <cell r="D92">
            <v>0</v>
          </cell>
          <cell r="E92">
            <v>0</v>
          </cell>
          <cell r="F92">
            <v>0</v>
          </cell>
          <cell r="G92">
            <v>340</v>
          </cell>
          <cell r="H92">
            <v>30</v>
          </cell>
          <cell r="L92">
            <v>0</v>
          </cell>
          <cell r="M92">
            <v>0</v>
          </cell>
          <cell r="N92">
            <v>0</v>
          </cell>
          <cell r="O92">
            <v>0</v>
          </cell>
        </row>
        <row r="93">
          <cell r="A93" t="str">
            <v>F</v>
          </cell>
          <cell r="B93" t="str">
            <v>Electrical Distribution Monitoring/ 4xDGs</v>
          </cell>
          <cell r="I93">
            <v>103</v>
          </cell>
          <cell r="K93" t="str">
            <v>This quantity is assumed and can alter based on design &amp; build scheme of the ACMV contractor</v>
          </cell>
        </row>
        <row r="94">
          <cell r="A94">
            <v>1</v>
          </cell>
          <cell r="B94" t="str">
            <v>Main Incomeroutgoing Breaker status</v>
          </cell>
          <cell r="I94" t="str">
            <v>serial bus with Modbus RTU protocol</v>
          </cell>
          <cell r="K94" t="str">
            <v>Electrical vendor</v>
          </cell>
        </row>
        <row r="95">
          <cell r="A95">
            <v>2</v>
          </cell>
          <cell r="B95" t="str">
            <v>Main Incomer/ outgoing  Breaker Trip</v>
          </cell>
          <cell r="I95" t="str">
            <v>serial bus with Modbus RTU protocol</v>
          </cell>
          <cell r="K95" t="str">
            <v>Electrical vendor</v>
          </cell>
        </row>
        <row r="96">
          <cell r="A96">
            <v>3</v>
          </cell>
          <cell r="B96" t="str">
            <v>Transofrmer alarms WTI, BHR,MOG</v>
          </cell>
          <cell r="G96">
            <v>12</v>
          </cell>
          <cell r="I96" t="str">
            <v>signal from potential free contact</v>
          </cell>
          <cell r="K96" t="str">
            <v>Electrical vendor</v>
          </cell>
        </row>
        <row r="97">
          <cell r="A97">
            <v>4</v>
          </cell>
          <cell r="B97" t="str">
            <v>Relays in incomer/ outgoing feeders</v>
          </cell>
          <cell r="I97" t="str">
            <v>serial bus with Modbus RTU protocol</v>
          </cell>
          <cell r="K97" t="str">
            <v>Electrical vendor</v>
          </cell>
        </row>
        <row r="98">
          <cell r="A98">
            <v>5</v>
          </cell>
          <cell r="B98" t="str">
            <v>Energy metering from composite TVM</v>
          </cell>
          <cell r="I98" t="str">
            <v>Composite meter with RS485 O/P</v>
          </cell>
          <cell r="K98" t="str">
            <v>Electrical vendor</v>
          </cell>
        </row>
        <row r="99">
          <cell r="A99">
            <v>6</v>
          </cell>
          <cell r="B99" t="str">
            <v>Perimeter Lighting ON/OFF Command.</v>
          </cell>
          <cell r="H99">
            <v>12</v>
          </cell>
          <cell r="I99" t="str">
            <v>Command to Lighting contactor</v>
          </cell>
          <cell r="K99" t="str">
            <v>Electrical Vendor</v>
          </cell>
        </row>
        <row r="100">
          <cell r="A100">
            <v>7</v>
          </cell>
          <cell r="B100" t="str">
            <v>Perimeter Lighting ON/OFF status.</v>
          </cell>
          <cell r="G100">
            <v>12</v>
          </cell>
          <cell r="I100" t="str">
            <v>Signal from potential free contact</v>
          </cell>
          <cell r="K100" t="str">
            <v>Electrical Vendor</v>
          </cell>
        </row>
        <row r="101">
          <cell r="A101">
            <v>1</v>
          </cell>
          <cell r="B101" t="str">
            <v>DG Set ON/OFF Status</v>
          </cell>
          <cell r="G101">
            <v>4</v>
          </cell>
          <cell r="I101" t="str">
            <v>signal from potential free contact</v>
          </cell>
          <cell r="K101" t="str">
            <v>DG vendor</v>
          </cell>
        </row>
        <row r="102">
          <cell r="A102">
            <v>2</v>
          </cell>
          <cell r="B102" t="str">
            <v>DG breaker trip</v>
          </cell>
          <cell r="G102">
            <v>4</v>
          </cell>
          <cell r="I102" t="str">
            <v>signal from potential free contact</v>
          </cell>
          <cell r="K102" t="str">
            <v>DG vendor</v>
          </cell>
        </row>
        <row r="103">
          <cell r="A103">
            <v>3</v>
          </cell>
          <cell r="B103" t="str">
            <v>DG failure alarm</v>
          </cell>
          <cell r="G103">
            <v>4</v>
          </cell>
          <cell r="I103" t="str">
            <v>signal from potential free contact</v>
          </cell>
          <cell r="K103" t="str">
            <v>DG vendor</v>
          </cell>
        </row>
        <row r="104">
          <cell r="A104">
            <v>4</v>
          </cell>
          <cell r="B104" t="str">
            <v xml:space="preserve">Fuel Pump Trip </v>
          </cell>
          <cell r="G104">
            <v>4</v>
          </cell>
          <cell r="I104" t="str">
            <v>signal from potential free contact</v>
          </cell>
          <cell r="K104" t="str">
            <v>DG vendor</v>
          </cell>
        </row>
        <row r="105">
          <cell r="A105">
            <v>5</v>
          </cell>
          <cell r="B105" t="str">
            <v>Battery low status</v>
          </cell>
          <cell r="G105">
            <v>4</v>
          </cell>
          <cell r="I105" t="str">
            <v>signal from potential free contact</v>
          </cell>
          <cell r="K105" t="str">
            <v>DG vendor</v>
          </cell>
        </row>
        <row r="106">
          <cell r="A106">
            <v>6</v>
          </cell>
          <cell r="B106" t="str">
            <v>Fuel tank level High / Low status</v>
          </cell>
          <cell r="G106">
            <v>8</v>
          </cell>
          <cell r="I106" t="str">
            <v>signal from potential free contact</v>
          </cell>
          <cell r="K106" t="str">
            <v>DG vendor</v>
          </cell>
        </row>
        <row r="107">
          <cell r="A107">
            <v>7</v>
          </cell>
          <cell r="B107" t="str">
            <v>Energy Monitoring For [V,I, KWH, PF,Frq]</v>
          </cell>
          <cell r="I107" t="str">
            <v>Composite meter with RS485 O/P</v>
          </cell>
          <cell r="K107" t="str">
            <v>DG vendor</v>
          </cell>
        </row>
        <row r="108">
          <cell r="B108" t="str">
            <v>Spare 10%</v>
          </cell>
          <cell r="D108">
            <v>0</v>
          </cell>
          <cell r="E108">
            <v>0</v>
          </cell>
          <cell r="F108">
            <v>0</v>
          </cell>
          <cell r="G108">
            <v>6</v>
          </cell>
          <cell r="H108">
            <v>2</v>
          </cell>
        </row>
        <row r="109">
          <cell r="A109" t="str">
            <v>FX</v>
          </cell>
          <cell r="B109" t="str">
            <v>Total I/O</v>
          </cell>
          <cell r="D109">
            <v>0</v>
          </cell>
          <cell r="E109">
            <v>0</v>
          </cell>
          <cell r="F109">
            <v>0</v>
          </cell>
          <cell r="G109">
            <v>58</v>
          </cell>
          <cell r="H109">
            <v>14</v>
          </cell>
          <cell r="I109">
            <v>1</v>
          </cell>
        </row>
        <row r="110">
          <cell r="B110" t="str">
            <v>Total I/O for ELEC.DISTRIB/DGs in complex</v>
          </cell>
          <cell r="D110">
            <v>0</v>
          </cell>
          <cell r="E110">
            <v>0</v>
          </cell>
          <cell r="F110">
            <v>0</v>
          </cell>
          <cell r="G110">
            <v>58</v>
          </cell>
          <cell r="H110">
            <v>14</v>
          </cell>
          <cell r="L110">
            <v>0</v>
          </cell>
          <cell r="M110">
            <v>0</v>
          </cell>
          <cell r="N110">
            <v>0</v>
          </cell>
          <cell r="O110">
            <v>0</v>
          </cell>
        </row>
        <row r="111">
          <cell r="A111" t="str">
            <v>G</v>
          </cell>
          <cell r="B111" t="str">
            <v>Water Management/Fire protection System (3x sumps, 5x OH tanks)</v>
          </cell>
          <cell r="K111" t="str">
            <v>This quantity is assumed and can alter based on design &amp; build scheme of the ACMV contractor</v>
          </cell>
        </row>
        <row r="112">
          <cell r="B112" t="str">
            <v>Domestic Water Pumping System [Water Pumps]</v>
          </cell>
          <cell r="I112">
            <v>7</v>
          </cell>
        </row>
        <row r="113">
          <cell r="A113">
            <v>1</v>
          </cell>
          <cell r="B113" t="str">
            <v>Water pump ON/OFF command.</v>
          </cell>
          <cell r="H113">
            <v>7</v>
          </cell>
          <cell r="I113" t="str">
            <v>Command to Pump Panel</v>
          </cell>
          <cell r="K113" t="str">
            <v>Electrical Vendor</v>
          </cell>
        </row>
        <row r="114">
          <cell r="A114">
            <v>2</v>
          </cell>
          <cell r="B114" t="str">
            <v>Water pump ON/OFF status</v>
          </cell>
          <cell r="G114">
            <v>7</v>
          </cell>
          <cell r="I114" t="str">
            <v>Signal from potential free contact.</v>
          </cell>
          <cell r="K114" t="str">
            <v>Electrical Vendor</v>
          </cell>
        </row>
        <row r="115">
          <cell r="A115">
            <v>3</v>
          </cell>
          <cell r="B115" t="str">
            <v>Water pump trip status.</v>
          </cell>
          <cell r="G115">
            <v>7</v>
          </cell>
          <cell r="I115" t="str">
            <v>Signal from potential free contact.</v>
          </cell>
          <cell r="K115" t="str">
            <v>Electrical Vendor</v>
          </cell>
        </row>
        <row r="116">
          <cell r="A116">
            <v>4</v>
          </cell>
          <cell r="B116" t="str">
            <v>Water pump Auto / Manual status.</v>
          </cell>
          <cell r="G116">
            <v>7</v>
          </cell>
          <cell r="I116" t="str">
            <v>Signal from potential free contact.</v>
          </cell>
          <cell r="K116" t="str">
            <v>Electrical Vendor</v>
          </cell>
        </row>
        <row r="117">
          <cell r="A117">
            <v>5</v>
          </cell>
          <cell r="B117" t="str">
            <v>O.H Tank level High / Low monitoring.</v>
          </cell>
          <cell r="E117">
            <v>8</v>
          </cell>
          <cell r="I117" t="str">
            <v>Level Sensor</v>
          </cell>
          <cell r="J117" t="str">
            <v>S</v>
          </cell>
          <cell r="K117" t="str">
            <v>BAS Vendor</v>
          </cell>
          <cell r="M117">
            <v>4</v>
          </cell>
        </row>
        <row r="118">
          <cell r="A118">
            <v>6</v>
          </cell>
          <cell r="B118" t="str">
            <v>Sump level High / Low monitoring</v>
          </cell>
          <cell r="G118">
            <v>6</v>
          </cell>
          <cell r="I118" t="str">
            <v>Level Switch</v>
          </cell>
          <cell r="J118" t="str">
            <v>B</v>
          </cell>
          <cell r="K118" t="str">
            <v>BAS Vendor</v>
          </cell>
          <cell r="L118">
            <v>3</v>
          </cell>
        </row>
        <row r="119">
          <cell r="B119" t="str">
            <v>Water Softener Plant</v>
          </cell>
          <cell r="I119">
            <v>2</v>
          </cell>
        </row>
        <row r="120">
          <cell r="A120">
            <v>7</v>
          </cell>
          <cell r="B120" t="str">
            <v>Softener feed pump ON/OFF command.</v>
          </cell>
          <cell r="H120">
            <v>2</v>
          </cell>
          <cell r="I120" t="str">
            <v>Command to Pump Panel</v>
          </cell>
          <cell r="K120" t="str">
            <v>Electrical Vendor</v>
          </cell>
        </row>
        <row r="121">
          <cell r="A121">
            <v>8</v>
          </cell>
          <cell r="B121" t="str">
            <v>Softener feed pump ON/OFF status.</v>
          </cell>
          <cell r="G121">
            <v>2</v>
          </cell>
          <cell r="I121" t="str">
            <v>Signal from potential free contact.</v>
          </cell>
          <cell r="K121" t="str">
            <v>Electrical Vendor</v>
          </cell>
        </row>
        <row r="122">
          <cell r="A122">
            <v>9</v>
          </cell>
          <cell r="B122" t="str">
            <v>Softener feed pump trip status.</v>
          </cell>
          <cell r="G122">
            <v>2</v>
          </cell>
          <cell r="I122" t="str">
            <v>Signal from potential free contact.</v>
          </cell>
          <cell r="K122" t="str">
            <v>Electrical Vendor</v>
          </cell>
        </row>
        <row r="123">
          <cell r="A123">
            <v>10</v>
          </cell>
          <cell r="B123" t="str">
            <v>Softener feed pump Auto / Manual status.</v>
          </cell>
          <cell r="G123">
            <v>2</v>
          </cell>
          <cell r="I123" t="str">
            <v>Signal from potential free contact.</v>
          </cell>
          <cell r="K123" t="str">
            <v>Electrical Vendor</v>
          </cell>
        </row>
        <row r="124">
          <cell r="B124" t="str">
            <v>Irrigation Pumping System</v>
          </cell>
          <cell r="I124">
            <v>3</v>
          </cell>
        </row>
        <row r="125">
          <cell r="A125">
            <v>11</v>
          </cell>
          <cell r="B125" t="str">
            <v>Irrigation pump ON/OFF command.</v>
          </cell>
          <cell r="H125">
            <v>3</v>
          </cell>
          <cell r="I125" t="str">
            <v>Command to Pump Panel</v>
          </cell>
          <cell r="K125" t="str">
            <v>Electrical Vendor</v>
          </cell>
        </row>
        <row r="126">
          <cell r="A126">
            <v>12</v>
          </cell>
          <cell r="B126" t="str">
            <v>Irrigation pump ON/OFF status</v>
          </cell>
          <cell r="G126">
            <v>3</v>
          </cell>
          <cell r="I126" t="str">
            <v>Signal from potential free contact.</v>
          </cell>
          <cell r="K126" t="str">
            <v>Electrical Vendor</v>
          </cell>
        </row>
        <row r="127">
          <cell r="A127">
            <v>13</v>
          </cell>
          <cell r="B127" t="str">
            <v>Irrigation pump trip status</v>
          </cell>
          <cell r="G127">
            <v>3</v>
          </cell>
          <cell r="H127">
            <v>0</v>
          </cell>
          <cell r="I127" t="str">
            <v>Signal from potential free contact.</v>
          </cell>
          <cell r="K127" t="str">
            <v>Electrical Vendor</v>
          </cell>
        </row>
        <row r="128">
          <cell r="A128">
            <v>14</v>
          </cell>
          <cell r="B128" t="str">
            <v>Irrigation pump Auto / Manual status</v>
          </cell>
          <cell r="G128">
            <v>3</v>
          </cell>
          <cell r="H128">
            <v>0</v>
          </cell>
          <cell r="I128" t="str">
            <v>Signal from potential free contact.</v>
          </cell>
          <cell r="K128" t="str">
            <v>Electrical Vendor</v>
          </cell>
        </row>
        <row r="129">
          <cell r="B129" t="str">
            <v>Fire Pumps</v>
          </cell>
        </row>
        <row r="130">
          <cell r="A130">
            <v>15</v>
          </cell>
          <cell r="B130" t="str">
            <v>Fire pump ON/OFF status</v>
          </cell>
          <cell r="G130">
            <v>3</v>
          </cell>
          <cell r="I130" t="str">
            <v>Signal from potential free contact.</v>
          </cell>
          <cell r="K130" t="str">
            <v>Electrical Vendor</v>
          </cell>
        </row>
        <row r="131">
          <cell r="A131">
            <v>16</v>
          </cell>
          <cell r="B131" t="str">
            <v>Fire pump trip status</v>
          </cell>
          <cell r="G131">
            <v>3</v>
          </cell>
          <cell r="I131" t="str">
            <v>Signal from potential free contact.</v>
          </cell>
          <cell r="K131" t="str">
            <v>Electrical Vendor</v>
          </cell>
        </row>
        <row r="132">
          <cell r="A132">
            <v>17</v>
          </cell>
          <cell r="B132" t="str">
            <v>Sprinkler Line pressure sensor</v>
          </cell>
          <cell r="E132">
            <v>1</v>
          </cell>
          <cell r="I132" t="str">
            <v>Pressure sensor</v>
          </cell>
          <cell r="J132" t="str">
            <v>S</v>
          </cell>
          <cell r="K132" t="str">
            <v>BAS Vendor</v>
          </cell>
          <cell r="M132">
            <v>1</v>
          </cell>
        </row>
        <row r="133">
          <cell r="B133" t="str">
            <v>Spare 10%</v>
          </cell>
          <cell r="D133">
            <v>0</v>
          </cell>
          <cell r="E133">
            <v>1</v>
          </cell>
          <cell r="F133">
            <v>0</v>
          </cell>
          <cell r="G133">
            <v>5</v>
          </cell>
          <cell r="H133">
            <v>2</v>
          </cell>
        </row>
        <row r="134">
          <cell r="A134" t="str">
            <v>GX</v>
          </cell>
          <cell r="B134" t="str">
            <v>Total I/O for water management in complex</v>
          </cell>
          <cell r="D134">
            <v>0</v>
          </cell>
          <cell r="E134">
            <v>10</v>
          </cell>
          <cell r="F134">
            <v>0</v>
          </cell>
          <cell r="G134">
            <v>53</v>
          </cell>
          <cell r="H134">
            <v>14</v>
          </cell>
          <cell r="I134">
            <v>1</v>
          </cell>
          <cell r="L134">
            <v>3</v>
          </cell>
          <cell r="M134">
            <v>5</v>
          </cell>
          <cell r="N134">
            <v>0</v>
          </cell>
          <cell r="O134">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
          <cell r="D1" t="str">
            <v xml:space="preserve">Analog Signals  </v>
          </cell>
        </row>
      </sheetData>
      <sheetData sheetId="34">
        <row r="1">
          <cell r="D1" t="str">
            <v xml:space="preserve">Analog Signals  </v>
          </cell>
        </row>
      </sheetData>
      <sheetData sheetId="35">
        <row r="1">
          <cell r="D1" t="str">
            <v xml:space="preserve">Analog Signals  </v>
          </cell>
        </row>
      </sheetData>
      <sheetData sheetId="36">
        <row r="1">
          <cell r="D1" t="str">
            <v xml:space="preserve">Analog Signals  </v>
          </cell>
        </row>
      </sheetData>
      <sheetData sheetId="37">
        <row r="1">
          <cell r="D1" t="str">
            <v xml:space="preserve">Analog Signals  </v>
          </cell>
        </row>
      </sheetData>
      <sheetData sheetId="38">
        <row r="1">
          <cell r="D1" t="str">
            <v xml:space="preserve">Analog Signals  </v>
          </cell>
        </row>
      </sheetData>
      <sheetData sheetId="39">
        <row r="1">
          <cell r="D1" t="str">
            <v xml:space="preserve">Analog Signals  </v>
          </cell>
        </row>
      </sheetData>
      <sheetData sheetId="40">
        <row r="1">
          <cell r="D1" t="str">
            <v xml:space="preserve">Analog Signals  </v>
          </cell>
        </row>
      </sheetData>
      <sheetData sheetId="41">
        <row r="1">
          <cell r="D1" t="str">
            <v xml:space="preserve">Analog Signals  </v>
          </cell>
        </row>
      </sheetData>
      <sheetData sheetId="42">
        <row r="1">
          <cell r="D1" t="str">
            <v xml:space="preserve">Analog Signals  </v>
          </cell>
        </row>
      </sheetData>
      <sheetData sheetId="43">
        <row r="1">
          <cell r="D1" t="str">
            <v xml:space="preserve">Analog Signals  </v>
          </cell>
        </row>
      </sheetData>
      <sheetData sheetId="44" refreshError="1"/>
      <sheetData sheetId="45">
        <row r="1">
          <cell r="D1" t="str">
            <v xml:space="preserve">Analog Signals  </v>
          </cell>
        </row>
      </sheetData>
      <sheetData sheetId="46">
        <row r="1">
          <cell r="D1" t="str">
            <v xml:space="preserve">Analog Signals  </v>
          </cell>
        </row>
      </sheetData>
      <sheetData sheetId="47">
        <row r="1">
          <cell r="D1" t="str">
            <v xml:space="preserve">Analog Signals  </v>
          </cell>
        </row>
      </sheetData>
      <sheetData sheetId="48"/>
      <sheetData sheetId="49"/>
      <sheetData sheetId="50"/>
      <sheetData sheetId="51">
        <row r="1">
          <cell r="D1" t="str">
            <v xml:space="preserve">Analog Signals  </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
          <cell r="D1" t="str">
            <v xml:space="preserve">Analog Signals  </v>
          </cell>
        </row>
      </sheetData>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ow r="1">
          <cell r="D1" t="str">
            <v xml:space="preserve">Analog Signals  </v>
          </cell>
        </row>
      </sheetData>
      <sheetData sheetId="160">
        <row r="1">
          <cell r="D1" t="str">
            <v xml:space="preserve">Analog Signals  </v>
          </cell>
        </row>
      </sheetData>
      <sheetData sheetId="161">
        <row r="1">
          <cell r="D1" t="str">
            <v xml:space="preserve">Analog Signals  </v>
          </cell>
        </row>
      </sheetData>
      <sheetData sheetId="162">
        <row r="1">
          <cell r="D1" t="str">
            <v xml:space="preserve">Analog Signals  </v>
          </cell>
        </row>
      </sheetData>
      <sheetData sheetId="163">
        <row r="1">
          <cell r="D1" t="str">
            <v xml:space="preserve">Analog Signals  </v>
          </cell>
        </row>
      </sheetData>
      <sheetData sheetId="164">
        <row r="1">
          <cell r="D1" t="str">
            <v xml:space="preserve">Analog Signals  </v>
          </cell>
        </row>
      </sheetData>
      <sheetData sheetId="165">
        <row r="1">
          <cell r="D1" t="str">
            <v xml:space="preserve">Analog Signals  </v>
          </cell>
        </row>
      </sheetData>
      <sheetData sheetId="166">
        <row r="1">
          <cell r="D1" t="str">
            <v xml:space="preserve">Analog Signals  </v>
          </cell>
        </row>
      </sheetData>
      <sheetData sheetId="167">
        <row r="1">
          <cell r="D1" t="str">
            <v xml:space="preserve">Analog Signals  </v>
          </cell>
        </row>
      </sheetData>
      <sheetData sheetId="168">
        <row r="1">
          <cell r="D1" t="str">
            <v xml:space="preserve">Analog Signals  </v>
          </cell>
        </row>
      </sheetData>
      <sheetData sheetId="169">
        <row r="1">
          <cell r="D1" t="str">
            <v xml:space="preserve">Analog Signals  </v>
          </cell>
        </row>
      </sheetData>
      <sheetData sheetId="170">
        <row r="1">
          <cell r="D1" t="str">
            <v xml:space="preserve">Analog Signals  </v>
          </cell>
        </row>
      </sheetData>
      <sheetData sheetId="171">
        <row r="1">
          <cell r="D1" t="str">
            <v xml:space="preserve">Analog Signals  </v>
          </cell>
        </row>
      </sheetData>
      <sheetData sheetId="172">
        <row r="1">
          <cell r="D1" t="str">
            <v xml:space="preserve">Analog Signals  </v>
          </cell>
        </row>
      </sheetData>
      <sheetData sheetId="173">
        <row r="1">
          <cell r="D1" t="str">
            <v xml:space="preserve">Analog Signals  </v>
          </cell>
        </row>
      </sheetData>
      <sheetData sheetId="174">
        <row r="1">
          <cell r="D1" t="str">
            <v xml:space="preserve">Analog Signals  </v>
          </cell>
        </row>
      </sheetData>
      <sheetData sheetId="175">
        <row r="1">
          <cell r="D1" t="str">
            <v xml:space="preserve">Analog Signals  </v>
          </cell>
        </row>
      </sheetData>
      <sheetData sheetId="176">
        <row r="1">
          <cell r="D1" t="str">
            <v xml:space="preserve">Analog Signals  </v>
          </cell>
        </row>
      </sheetData>
      <sheetData sheetId="177">
        <row r="1">
          <cell r="D1" t="str">
            <v xml:space="preserve">Analog Signals  </v>
          </cell>
        </row>
      </sheetData>
      <sheetData sheetId="178">
        <row r="1">
          <cell r="D1" t="str">
            <v xml:space="preserve">Analog Signals  </v>
          </cell>
        </row>
      </sheetData>
      <sheetData sheetId="179">
        <row r="1">
          <cell r="D1" t="str">
            <v xml:space="preserve">Analog Signals  </v>
          </cell>
        </row>
      </sheetData>
      <sheetData sheetId="180">
        <row r="1">
          <cell r="D1" t="str">
            <v xml:space="preserve">Analog Signals  </v>
          </cell>
        </row>
      </sheetData>
      <sheetData sheetId="181">
        <row r="1">
          <cell r="D1" t="str">
            <v xml:space="preserve">Analog Signals  </v>
          </cell>
        </row>
      </sheetData>
      <sheetData sheetId="182">
        <row r="1">
          <cell r="D1" t="str">
            <v xml:space="preserve">Analog Signals  </v>
          </cell>
        </row>
      </sheetData>
      <sheetData sheetId="183">
        <row r="1">
          <cell r="D1" t="str">
            <v xml:space="preserve">Analog Signals  </v>
          </cell>
        </row>
      </sheetData>
      <sheetData sheetId="184">
        <row r="1">
          <cell r="D1" t="str">
            <v xml:space="preserve">Analog Signals  </v>
          </cell>
        </row>
      </sheetData>
      <sheetData sheetId="185">
        <row r="1">
          <cell r="D1" t="str">
            <v xml:space="preserve">Analog Signals  </v>
          </cell>
        </row>
      </sheetData>
      <sheetData sheetId="186">
        <row r="1">
          <cell r="D1" t="str">
            <v xml:space="preserve">Analog Signals  </v>
          </cell>
        </row>
      </sheetData>
      <sheetData sheetId="187">
        <row r="1">
          <cell r="D1" t="str">
            <v xml:space="preserve">Analog Signals  </v>
          </cell>
        </row>
      </sheetData>
      <sheetData sheetId="188">
        <row r="1">
          <cell r="D1" t="str">
            <v xml:space="preserve">Analog Signals  </v>
          </cell>
        </row>
      </sheetData>
      <sheetData sheetId="189">
        <row r="1">
          <cell r="D1" t="str">
            <v xml:space="preserve">Analog Signals  </v>
          </cell>
        </row>
      </sheetData>
      <sheetData sheetId="190">
        <row r="1">
          <cell r="D1" t="str">
            <v xml:space="preserve">Analog Signals  </v>
          </cell>
        </row>
      </sheetData>
      <sheetData sheetId="191">
        <row r="1">
          <cell r="D1" t="str">
            <v xml:space="preserve">Analog Signals  </v>
          </cell>
        </row>
      </sheetData>
      <sheetData sheetId="192">
        <row r="1">
          <cell r="D1" t="str">
            <v xml:space="preserve">Analog Signals  </v>
          </cell>
        </row>
      </sheetData>
      <sheetData sheetId="193">
        <row r="1">
          <cell r="D1" t="str">
            <v xml:space="preserve">Analog Signals  </v>
          </cell>
        </row>
      </sheetData>
      <sheetData sheetId="194">
        <row r="1">
          <cell r="D1" t="str">
            <v xml:space="preserve">Analog Signals  </v>
          </cell>
        </row>
      </sheetData>
      <sheetData sheetId="195">
        <row r="1">
          <cell r="D1" t="str">
            <v xml:space="preserve">Analog Signals  </v>
          </cell>
        </row>
      </sheetData>
      <sheetData sheetId="196">
        <row r="1">
          <cell r="D1" t="str">
            <v xml:space="preserve">Analog Signals  </v>
          </cell>
        </row>
      </sheetData>
      <sheetData sheetId="197">
        <row r="1">
          <cell r="D1" t="str">
            <v xml:space="preserve">Analog Signals  </v>
          </cell>
        </row>
      </sheetData>
      <sheetData sheetId="198">
        <row r="1">
          <cell r="D1" t="str">
            <v xml:space="preserve">Analog Signals  </v>
          </cell>
        </row>
      </sheetData>
      <sheetData sheetId="199">
        <row r="1">
          <cell r="D1" t="str">
            <v xml:space="preserve">Analog Signals  </v>
          </cell>
        </row>
      </sheetData>
      <sheetData sheetId="200">
        <row r="1">
          <cell r="D1" t="str">
            <v xml:space="preserve">Analog Signals  </v>
          </cell>
        </row>
      </sheetData>
      <sheetData sheetId="201">
        <row r="1">
          <cell r="D1" t="str">
            <v xml:space="preserve">Analog Signals  </v>
          </cell>
        </row>
      </sheetData>
      <sheetData sheetId="202">
        <row r="1">
          <cell r="D1" t="str">
            <v xml:space="preserve">Analog Signals  </v>
          </cell>
        </row>
      </sheetData>
      <sheetData sheetId="203">
        <row r="1">
          <cell r="D1" t="str">
            <v xml:space="preserve">Analog Signals  </v>
          </cell>
        </row>
      </sheetData>
      <sheetData sheetId="204">
        <row r="1">
          <cell r="D1" t="str">
            <v xml:space="preserve">Analog Signals  </v>
          </cell>
        </row>
      </sheetData>
      <sheetData sheetId="205">
        <row r="1">
          <cell r="D1" t="str">
            <v xml:space="preserve">Analog Signals  </v>
          </cell>
        </row>
      </sheetData>
      <sheetData sheetId="206">
        <row r="1">
          <cell r="D1" t="str">
            <v xml:space="preserve">Analog Signals  </v>
          </cell>
        </row>
      </sheetData>
      <sheetData sheetId="207">
        <row r="1">
          <cell r="D1" t="str">
            <v xml:space="preserve">Analog Signals  </v>
          </cell>
        </row>
      </sheetData>
      <sheetData sheetId="208">
        <row r="1">
          <cell r="D1" t="str">
            <v xml:space="preserve">Analog Signals  </v>
          </cell>
        </row>
      </sheetData>
      <sheetData sheetId="209">
        <row r="1">
          <cell r="D1" t="str">
            <v xml:space="preserve">Analog Signals  </v>
          </cell>
        </row>
      </sheetData>
      <sheetData sheetId="210">
        <row r="1">
          <cell r="D1" t="str">
            <v xml:space="preserve">Analog Signals  </v>
          </cell>
        </row>
      </sheetData>
      <sheetData sheetId="211">
        <row r="1">
          <cell r="D1" t="str">
            <v xml:space="preserve">Analog Signals  </v>
          </cell>
        </row>
      </sheetData>
      <sheetData sheetId="212">
        <row r="1">
          <cell r="D1" t="str">
            <v xml:space="preserve">Analog Signals  </v>
          </cell>
        </row>
      </sheetData>
      <sheetData sheetId="213">
        <row r="1">
          <cell r="D1" t="str">
            <v xml:space="preserve">Analog Signals  </v>
          </cell>
        </row>
      </sheetData>
      <sheetData sheetId="214">
        <row r="1">
          <cell r="D1" t="str">
            <v xml:space="preserve">Analog Signals  </v>
          </cell>
        </row>
      </sheetData>
      <sheetData sheetId="215">
        <row r="1">
          <cell r="D1" t="str">
            <v xml:space="preserve">Analog Signals  </v>
          </cell>
        </row>
      </sheetData>
      <sheetData sheetId="216">
        <row r="1">
          <cell r="D1" t="str">
            <v xml:space="preserve">Analog Signals  </v>
          </cell>
        </row>
      </sheetData>
      <sheetData sheetId="217">
        <row r="1">
          <cell r="D1" t="str">
            <v xml:space="preserve">Analog Signals  </v>
          </cell>
        </row>
      </sheetData>
      <sheetData sheetId="218">
        <row r="1">
          <cell r="D1" t="str">
            <v xml:space="preserve">Analog Signals  </v>
          </cell>
        </row>
      </sheetData>
      <sheetData sheetId="219">
        <row r="1">
          <cell r="D1" t="str">
            <v xml:space="preserve">Analog Signals  </v>
          </cell>
        </row>
      </sheetData>
      <sheetData sheetId="220">
        <row r="1">
          <cell r="D1" t="str">
            <v xml:space="preserve">Analog Signals  </v>
          </cell>
        </row>
      </sheetData>
      <sheetData sheetId="221">
        <row r="1">
          <cell r="D1" t="str">
            <v xml:space="preserve">Analog Signals  </v>
          </cell>
        </row>
      </sheetData>
      <sheetData sheetId="222">
        <row r="1">
          <cell r="D1" t="str">
            <v xml:space="preserve">Analog Signals  </v>
          </cell>
        </row>
      </sheetData>
      <sheetData sheetId="223">
        <row r="1">
          <cell r="D1" t="str">
            <v xml:space="preserve">Analog Signals  </v>
          </cell>
        </row>
      </sheetData>
      <sheetData sheetId="224">
        <row r="1">
          <cell r="D1" t="str">
            <v xml:space="preserve">Analog Signals  </v>
          </cell>
        </row>
      </sheetData>
      <sheetData sheetId="225" refreshError="1"/>
      <sheetData sheetId="226" refreshError="1"/>
      <sheetData sheetId="227" refreshError="1"/>
      <sheetData sheetId="228" refreshError="1"/>
      <sheetData sheetId="229">
        <row r="1">
          <cell r="D1" t="str">
            <v xml:space="preserve">Analog Signals  </v>
          </cell>
        </row>
      </sheetData>
      <sheetData sheetId="230">
        <row r="1">
          <cell r="D1" t="str">
            <v xml:space="preserve">Analog Signals  </v>
          </cell>
        </row>
      </sheetData>
      <sheetData sheetId="231">
        <row r="1">
          <cell r="D1" t="str">
            <v xml:space="preserve">Analog Signals  </v>
          </cell>
        </row>
      </sheetData>
      <sheetData sheetId="232">
        <row r="1">
          <cell r="D1" t="str">
            <v xml:space="preserve">Analog Signals  </v>
          </cell>
        </row>
      </sheetData>
      <sheetData sheetId="233">
        <row r="1">
          <cell r="D1" t="str">
            <v xml:space="preserve">Analog Signals  </v>
          </cell>
        </row>
      </sheetData>
      <sheetData sheetId="234">
        <row r="1">
          <cell r="D1" t="str">
            <v xml:space="preserve">Analog Signals  </v>
          </cell>
        </row>
      </sheetData>
      <sheetData sheetId="235">
        <row r="1">
          <cell r="D1" t="str">
            <v xml:space="preserve">Analog Signals  </v>
          </cell>
        </row>
      </sheetData>
      <sheetData sheetId="236">
        <row r="1">
          <cell r="D1" t="str">
            <v xml:space="preserve">Analog Signals  </v>
          </cell>
        </row>
      </sheetData>
      <sheetData sheetId="237">
        <row r="1">
          <cell r="D1" t="str">
            <v xml:space="preserve">Analog Signals  </v>
          </cell>
        </row>
      </sheetData>
      <sheetData sheetId="238">
        <row r="1">
          <cell r="D1" t="str">
            <v xml:space="preserve">Analog Signals  </v>
          </cell>
        </row>
      </sheetData>
      <sheetData sheetId="239">
        <row r="1">
          <cell r="D1" t="str">
            <v xml:space="preserve">Analog Signals  </v>
          </cell>
        </row>
      </sheetData>
      <sheetData sheetId="240">
        <row r="1">
          <cell r="D1" t="str">
            <v xml:space="preserve">Analog Signals  </v>
          </cell>
        </row>
      </sheetData>
      <sheetData sheetId="241">
        <row r="1">
          <cell r="D1" t="str">
            <v xml:space="preserve">Analog Signals  </v>
          </cell>
        </row>
      </sheetData>
      <sheetData sheetId="242">
        <row r="1">
          <cell r="D1" t="str">
            <v xml:space="preserve">Analog Signals  </v>
          </cell>
        </row>
      </sheetData>
      <sheetData sheetId="243">
        <row r="1">
          <cell r="D1" t="str">
            <v xml:space="preserve">Analog Signals  </v>
          </cell>
        </row>
      </sheetData>
      <sheetData sheetId="244">
        <row r="1">
          <cell r="D1" t="str">
            <v xml:space="preserve">Analog Signals  </v>
          </cell>
        </row>
      </sheetData>
      <sheetData sheetId="245">
        <row r="1">
          <cell r="D1" t="str">
            <v xml:space="preserve">Analog Signals  </v>
          </cell>
        </row>
      </sheetData>
      <sheetData sheetId="246">
        <row r="1">
          <cell r="D1" t="str">
            <v xml:space="preserve">Analog Signals  </v>
          </cell>
        </row>
      </sheetData>
      <sheetData sheetId="247">
        <row r="1">
          <cell r="D1" t="str">
            <v xml:space="preserve">Analog Signals  </v>
          </cell>
        </row>
      </sheetData>
      <sheetData sheetId="248">
        <row r="1">
          <cell r="D1" t="str">
            <v xml:space="preserve">Analog Signals  </v>
          </cell>
        </row>
      </sheetData>
      <sheetData sheetId="249">
        <row r="1">
          <cell r="D1" t="str">
            <v xml:space="preserve">Analog Signals  </v>
          </cell>
        </row>
      </sheetData>
      <sheetData sheetId="250">
        <row r="1">
          <cell r="D1" t="str">
            <v xml:space="preserve">Analog Signals  </v>
          </cell>
        </row>
      </sheetData>
      <sheetData sheetId="251">
        <row r="1">
          <cell r="D1" t="str">
            <v xml:space="preserve">Analog Signals  </v>
          </cell>
        </row>
      </sheetData>
      <sheetData sheetId="252">
        <row r="1">
          <cell r="D1" t="str">
            <v xml:space="preserve">Analog Signals  </v>
          </cell>
        </row>
      </sheetData>
      <sheetData sheetId="253">
        <row r="1">
          <cell r="D1" t="str">
            <v xml:space="preserve">Analog Signals  </v>
          </cell>
        </row>
      </sheetData>
      <sheetData sheetId="254">
        <row r="1">
          <cell r="D1" t="str">
            <v xml:space="preserve">Analog Signals  </v>
          </cell>
        </row>
      </sheetData>
      <sheetData sheetId="255">
        <row r="1">
          <cell r="D1" t="str">
            <v xml:space="preserve">Analog Signals  </v>
          </cell>
        </row>
      </sheetData>
      <sheetData sheetId="256">
        <row r="1">
          <cell r="D1" t="str">
            <v xml:space="preserve">Analog Signals  </v>
          </cell>
        </row>
      </sheetData>
      <sheetData sheetId="257">
        <row r="1">
          <cell r="D1" t="str">
            <v xml:space="preserve">Analog Signals  </v>
          </cell>
        </row>
      </sheetData>
      <sheetData sheetId="258">
        <row r="1">
          <cell r="D1" t="str">
            <v xml:space="preserve">Analog Signals  </v>
          </cell>
        </row>
      </sheetData>
      <sheetData sheetId="259">
        <row r="1">
          <cell r="D1" t="str">
            <v xml:space="preserve">Analog Signals  </v>
          </cell>
        </row>
      </sheetData>
      <sheetData sheetId="260">
        <row r="1">
          <cell r="D1" t="str">
            <v xml:space="preserve">Analog Signals  </v>
          </cell>
        </row>
      </sheetData>
      <sheetData sheetId="261">
        <row r="1">
          <cell r="D1" t="str">
            <v xml:space="preserve">Analog Signals  </v>
          </cell>
        </row>
      </sheetData>
      <sheetData sheetId="262">
        <row r="1">
          <cell r="D1" t="str">
            <v xml:space="preserve">Analog Signals  </v>
          </cell>
        </row>
      </sheetData>
      <sheetData sheetId="263">
        <row r="1">
          <cell r="D1" t="str">
            <v xml:space="preserve">Analog Signals  </v>
          </cell>
        </row>
      </sheetData>
      <sheetData sheetId="264">
        <row r="1">
          <cell r="D1" t="str">
            <v xml:space="preserve">Analog Signals  </v>
          </cell>
        </row>
      </sheetData>
      <sheetData sheetId="265">
        <row r="1">
          <cell r="D1" t="str">
            <v xml:space="preserve">Analog Signals  </v>
          </cell>
        </row>
      </sheetData>
      <sheetData sheetId="266">
        <row r="1">
          <cell r="D1" t="str">
            <v xml:space="preserve">Analog Signals  </v>
          </cell>
        </row>
      </sheetData>
      <sheetData sheetId="267">
        <row r="1">
          <cell r="D1" t="str">
            <v xml:space="preserve">Analog Signals  </v>
          </cell>
        </row>
      </sheetData>
      <sheetData sheetId="268">
        <row r="1">
          <cell r="D1" t="str">
            <v xml:space="preserve">Analog Signals  </v>
          </cell>
        </row>
      </sheetData>
      <sheetData sheetId="269">
        <row r="1">
          <cell r="D1" t="str">
            <v xml:space="preserve">Analog Signals  </v>
          </cell>
        </row>
      </sheetData>
      <sheetData sheetId="270">
        <row r="1">
          <cell r="D1" t="str">
            <v xml:space="preserve">Analog Signals  </v>
          </cell>
        </row>
      </sheetData>
      <sheetData sheetId="271">
        <row r="1">
          <cell r="D1" t="str">
            <v xml:space="preserve">Analog Signals  </v>
          </cell>
        </row>
      </sheetData>
      <sheetData sheetId="272">
        <row r="1">
          <cell r="D1" t="str">
            <v xml:space="preserve">Analog Signals  </v>
          </cell>
        </row>
      </sheetData>
      <sheetData sheetId="273">
        <row r="1">
          <cell r="D1" t="str">
            <v xml:space="preserve">Analog Signals  </v>
          </cell>
        </row>
      </sheetData>
      <sheetData sheetId="274">
        <row r="1">
          <cell r="D1" t="str">
            <v xml:space="preserve">Analog Signals  </v>
          </cell>
        </row>
      </sheetData>
      <sheetData sheetId="275">
        <row r="1">
          <cell r="D1" t="str">
            <v xml:space="preserve">Analog Signals  </v>
          </cell>
        </row>
      </sheetData>
      <sheetData sheetId="276">
        <row r="1">
          <cell r="D1" t="str">
            <v xml:space="preserve">Analog Signals  </v>
          </cell>
        </row>
      </sheetData>
      <sheetData sheetId="277">
        <row r="1">
          <cell r="D1" t="str">
            <v xml:space="preserve">Analog Signals  </v>
          </cell>
        </row>
      </sheetData>
      <sheetData sheetId="278">
        <row r="1">
          <cell r="D1" t="str">
            <v xml:space="preserve">Analog Signals  </v>
          </cell>
        </row>
      </sheetData>
      <sheetData sheetId="279">
        <row r="1">
          <cell r="D1" t="str">
            <v xml:space="preserve">Analog Signals  </v>
          </cell>
        </row>
      </sheetData>
      <sheetData sheetId="280">
        <row r="1">
          <cell r="D1" t="str">
            <v xml:space="preserve">Analog Signals  </v>
          </cell>
        </row>
      </sheetData>
      <sheetData sheetId="281">
        <row r="1">
          <cell r="D1" t="str">
            <v xml:space="preserve">Analog Signals  </v>
          </cell>
        </row>
      </sheetData>
      <sheetData sheetId="282">
        <row r="1">
          <cell r="D1" t="str">
            <v xml:space="preserve">Analog Signals  </v>
          </cell>
        </row>
      </sheetData>
      <sheetData sheetId="283">
        <row r="1">
          <cell r="D1" t="str">
            <v xml:space="preserve">Analog Signals  </v>
          </cell>
        </row>
      </sheetData>
      <sheetData sheetId="284">
        <row r="1">
          <cell r="D1" t="str">
            <v xml:space="preserve">Analog Signals  </v>
          </cell>
        </row>
      </sheetData>
      <sheetData sheetId="285">
        <row r="1">
          <cell r="D1" t="str">
            <v xml:space="preserve">Analog Signals  </v>
          </cell>
        </row>
      </sheetData>
      <sheetData sheetId="286">
        <row r="1">
          <cell r="D1" t="str">
            <v xml:space="preserve">Analog Signals  </v>
          </cell>
        </row>
      </sheetData>
      <sheetData sheetId="287">
        <row r="1">
          <cell r="D1" t="str">
            <v xml:space="preserve">Analog Signals  </v>
          </cell>
        </row>
      </sheetData>
      <sheetData sheetId="288">
        <row r="1">
          <cell r="D1" t="str">
            <v xml:space="preserve">Analog Signals  </v>
          </cell>
        </row>
      </sheetData>
      <sheetData sheetId="289">
        <row r="1">
          <cell r="D1" t="str">
            <v xml:space="preserve">Analog Signals  </v>
          </cell>
        </row>
      </sheetData>
      <sheetData sheetId="290">
        <row r="1">
          <cell r="D1" t="str">
            <v xml:space="preserve">Analog Signals  </v>
          </cell>
        </row>
      </sheetData>
      <sheetData sheetId="291">
        <row r="1">
          <cell r="D1" t="str">
            <v xml:space="preserve">Analog Signals  </v>
          </cell>
        </row>
      </sheetData>
      <sheetData sheetId="292">
        <row r="1">
          <cell r="D1" t="str">
            <v xml:space="preserve">Analog Signals  </v>
          </cell>
        </row>
      </sheetData>
      <sheetData sheetId="293">
        <row r="1">
          <cell r="D1" t="str">
            <v xml:space="preserve">Analog Signals  </v>
          </cell>
        </row>
      </sheetData>
      <sheetData sheetId="294">
        <row r="1">
          <cell r="D1" t="str">
            <v xml:space="preserve">Analog Signals  </v>
          </cell>
        </row>
      </sheetData>
      <sheetData sheetId="295">
        <row r="1">
          <cell r="D1" t="str">
            <v xml:space="preserve">Analog Signals  </v>
          </cell>
        </row>
      </sheetData>
      <sheetData sheetId="296">
        <row r="1">
          <cell r="D1" t="str">
            <v xml:space="preserve">Analog Signals  </v>
          </cell>
        </row>
      </sheetData>
      <sheetData sheetId="297">
        <row r="1">
          <cell r="D1" t="str">
            <v xml:space="preserve">Analog Signals  </v>
          </cell>
        </row>
      </sheetData>
      <sheetData sheetId="298">
        <row r="1">
          <cell r="D1" t="str">
            <v xml:space="preserve">Analog Signals  </v>
          </cell>
        </row>
      </sheetData>
      <sheetData sheetId="299">
        <row r="1">
          <cell r="D1" t="str">
            <v xml:space="preserve">Analog Signals  </v>
          </cell>
        </row>
      </sheetData>
      <sheetData sheetId="300">
        <row r="1">
          <cell r="D1" t="str">
            <v xml:space="preserve">Analog Signals  </v>
          </cell>
        </row>
      </sheetData>
      <sheetData sheetId="301">
        <row r="1">
          <cell r="D1" t="str">
            <v xml:space="preserve">Analog Signals  </v>
          </cell>
        </row>
      </sheetData>
      <sheetData sheetId="302">
        <row r="1">
          <cell r="D1" t="str">
            <v xml:space="preserve">Analog Signals  </v>
          </cell>
        </row>
      </sheetData>
      <sheetData sheetId="303">
        <row r="1">
          <cell r="D1" t="str">
            <v xml:space="preserve">Analog Signals  </v>
          </cell>
        </row>
      </sheetData>
      <sheetData sheetId="304">
        <row r="1">
          <cell r="D1" t="str">
            <v xml:space="preserve">Analog Signals  </v>
          </cell>
        </row>
      </sheetData>
      <sheetData sheetId="305">
        <row r="1">
          <cell r="D1" t="str">
            <v xml:space="preserve">Analog Signals  </v>
          </cell>
        </row>
      </sheetData>
      <sheetData sheetId="306">
        <row r="1">
          <cell r="D1" t="str">
            <v xml:space="preserve">Analog Signals  </v>
          </cell>
        </row>
      </sheetData>
      <sheetData sheetId="307">
        <row r="1">
          <cell r="D1" t="str">
            <v xml:space="preserve">Analog Signals  </v>
          </cell>
        </row>
      </sheetData>
      <sheetData sheetId="308">
        <row r="1">
          <cell r="D1" t="str">
            <v xml:space="preserve">Analog Signals  </v>
          </cell>
        </row>
      </sheetData>
      <sheetData sheetId="309">
        <row r="1">
          <cell r="D1" t="str">
            <v xml:space="preserve">Analog Signals  </v>
          </cell>
        </row>
      </sheetData>
      <sheetData sheetId="310">
        <row r="1">
          <cell r="D1" t="str">
            <v xml:space="preserve">Analog Signals  </v>
          </cell>
        </row>
      </sheetData>
      <sheetData sheetId="311">
        <row r="1">
          <cell r="D1" t="str">
            <v xml:space="preserve">Analog Signals  </v>
          </cell>
        </row>
      </sheetData>
      <sheetData sheetId="312">
        <row r="1">
          <cell r="D1" t="str">
            <v xml:space="preserve">Analog Signals  </v>
          </cell>
        </row>
      </sheetData>
      <sheetData sheetId="313">
        <row r="1">
          <cell r="D1" t="str">
            <v xml:space="preserve">Analog Signals  </v>
          </cell>
        </row>
      </sheetData>
      <sheetData sheetId="314">
        <row r="1">
          <cell r="D1" t="str">
            <v xml:space="preserve">Analog Signals  </v>
          </cell>
        </row>
      </sheetData>
      <sheetData sheetId="315">
        <row r="1">
          <cell r="D1" t="str">
            <v xml:space="preserve">Analog Signals  </v>
          </cell>
        </row>
      </sheetData>
      <sheetData sheetId="316">
        <row r="1">
          <cell r="D1" t="str">
            <v xml:space="preserve">Analog Signals  </v>
          </cell>
        </row>
      </sheetData>
      <sheetData sheetId="317">
        <row r="1">
          <cell r="D1" t="str">
            <v xml:space="preserve">Analog Signals  </v>
          </cell>
        </row>
      </sheetData>
      <sheetData sheetId="318">
        <row r="1">
          <cell r="D1" t="str">
            <v xml:space="preserve">Analog Signals  </v>
          </cell>
        </row>
      </sheetData>
      <sheetData sheetId="319">
        <row r="1">
          <cell r="D1" t="str">
            <v xml:space="preserve">Analog Signals  </v>
          </cell>
        </row>
      </sheetData>
      <sheetData sheetId="320">
        <row r="1">
          <cell r="D1" t="str">
            <v xml:space="preserve">Analog Signals  </v>
          </cell>
        </row>
      </sheetData>
      <sheetData sheetId="321">
        <row r="1">
          <cell r="D1" t="str">
            <v xml:space="preserve">Analog Signals  </v>
          </cell>
        </row>
      </sheetData>
      <sheetData sheetId="322">
        <row r="1">
          <cell r="D1" t="str">
            <v xml:space="preserve">Analog Signals  </v>
          </cell>
        </row>
      </sheetData>
      <sheetData sheetId="323">
        <row r="1">
          <cell r="D1" t="str">
            <v xml:space="preserve">Analog Signals  </v>
          </cell>
        </row>
      </sheetData>
      <sheetData sheetId="324">
        <row r="1">
          <cell r="D1" t="str">
            <v xml:space="preserve">Analog Signals  </v>
          </cell>
        </row>
      </sheetData>
      <sheetData sheetId="325">
        <row r="1">
          <cell r="D1" t="str">
            <v xml:space="preserve">Analog Signals  </v>
          </cell>
        </row>
      </sheetData>
      <sheetData sheetId="326">
        <row r="1">
          <cell r="D1" t="str">
            <v xml:space="preserve">Analog Signals  </v>
          </cell>
        </row>
      </sheetData>
      <sheetData sheetId="327">
        <row r="1">
          <cell r="D1" t="str">
            <v xml:space="preserve">Analog Signals  </v>
          </cell>
        </row>
      </sheetData>
      <sheetData sheetId="328">
        <row r="1">
          <cell r="D1" t="str">
            <v xml:space="preserve">Analog Signals  </v>
          </cell>
        </row>
      </sheetData>
      <sheetData sheetId="329">
        <row r="1">
          <cell r="D1" t="str">
            <v xml:space="preserve">Analog Signals  </v>
          </cell>
        </row>
      </sheetData>
      <sheetData sheetId="330">
        <row r="1">
          <cell r="D1" t="str">
            <v xml:space="preserve">Analog Signals  </v>
          </cell>
        </row>
      </sheetData>
      <sheetData sheetId="331">
        <row r="1">
          <cell r="D1" t="str">
            <v xml:space="preserve">Analog Signals  </v>
          </cell>
        </row>
      </sheetData>
      <sheetData sheetId="332">
        <row r="1">
          <cell r="D1" t="str">
            <v xml:space="preserve">Analog Signals  </v>
          </cell>
        </row>
      </sheetData>
      <sheetData sheetId="333">
        <row r="1">
          <cell r="D1" t="str">
            <v xml:space="preserve">Analog Signals  </v>
          </cell>
        </row>
      </sheetData>
      <sheetData sheetId="334">
        <row r="1">
          <cell r="D1" t="str">
            <v xml:space="preserve">Analog Signals  </v>
          </cell>
        </row>
      </sheetData>
      <sheetData sheetId="335">
        <row r="1">
          <cell r="D1" t="str">
            <v xml:space="preserve">Analog Signals  </v>
          </cell>
        </row>
      </sheetData>
      <sheetData sheetId="336">
        <row r="1">
          <cell r="D1" t="str">
            <v xml:space="preserve">Analog Signals  </v>
          </cell>
        </row>
      </sheetData>
      <sheetData sheetId="337">
        <row r="1">
          <cell r="D1" t="str">
            <v xml:space="preserve">Analog Signals  </v>
          </cell>
        </row>
      </sheetData>
      <sheetData sheetId="338">
        <row r="1">
          <cell r="D1" t="str">
            <v xml:space="preserve">Analog Signals  </v>
          </cell>
        </row>
      </sheetData>
      <sheetData sheetId="339">
        <row r="1">
          <cell r="D1" t="str">
            <v xml:space="preserve">Analog Signals  </v>
          </cell>
        </row>
      </sheetData>
      <sheetData sheetId="340">
        <row r="1">
          <cell r="D1" t="str">
            <v xml:space="preserve">Analog Signals  </v>
          </cell>
        </row>
      </sheetData>
      <sheetData sheetId="341">
        <row r="1">
          <cell r="D1" t="str">
            <v xml:space="preserve">Analog Signals  </v>
          </cell>
        </row>
      </sheetData>
      <sheetData sheetId="342">
        <row r="1">
          <cell r="D1" t="str">
            <v xml:space="preserve">Analog Signals  </v>
          </cell>
        </row>
      </sheetData>
      <sheetData sheetId="343">
        <row r="1">
          <cell r="D1" t="str">
            <v xml:space="preserve">Analog Signals  </v>
          </cell>
        </row>
      </sheetData>
      <sheetData sheetId="344">
        <row r="1">
          <cell r="D1" t="str">
            <v xml:space="preserve">Analog Signals  </v>
          </cell>
        </row>
      </sheetData>
      <sheetData sheetId="345">
        <row r="1">
          <cell r="D1" t="str">
            <v xml:space="preserve">Analog Signals  </v>
          </cell>
        </row>
      </sheetData>
      <sheetData sheetId="346">
        <row r="1">
          <cell r="D1" t="str">
            <v xml:space="preserve">Analog Signals  </v>
          </cell>
        </row>
      </sheetData>
      <sheetData sheetId="347">
        <row r="1">
          <cell r="D1" t="str">
            <v xml:space="preserve">Analog Signals  </v>
          </cell>
        </row>
      </sheetData>
      <sheetData sheetId="348">
        <row r="1">
          <cell r="D1" t="str">
            <v xml:space="preserve">Analog Signals  </v>
          </cell>
        </row>
      </sheetData>
      <sheetData sheetId="349">
        <row r="1">
          <cell r="D1" t="str">
            <v xml:space="preserve">Analog Signals  </v>
          </cell>
        </row>
      </sheetData>
      <sheetData sheetId="350">
        <row r="1">
          <cell r="D1" t="str">
            <v xml:space="preserve">Analog Signals  </v>
          </cell>
        </row>
      </sheetData>
      <sheetData sheetId="351">
        <row r="1">
          <cell r="D1" t="str">
            <v xml:space="preserve">Analog Signals  </v>
          </cell>
        </row>
      </sheetData>
      <sheetData sheetId="352">
        <row r="1">
          <cell r="D1" t="str">
            <v xml:space="preserve">Analog Signals  </v>
          </cell>
        </row>
      </sheetData>
      <sheetData sheetId="353">
        <row r="1">
          <cell r="D1" t="str">
            <v xml:space="preserve">Analog Signals  </v>
          </cell>
        </row>
      </sheetData>
      <sheetData sheetId="354">
        <row r="1">
          <cell r="D1" t="str">
            <v xml:space="preserve">Analog Signals  </v>
          </cell>
        </row>
      </sheetData>
      <sheetData sheetId="355">
        <row r="1">
          <cell r="D1" t="str">
            <v xml:space="preserve">Analog Signals  </v>
          </cell>
        </row>
      </sheetData>
      <sheetData sheetId="356">
        <row r="1">
          <cell r="D1" t="str">
            <v xml:space="preserve">Analog Signals  </v>
          </cell>
        </row>
      </sheetData>
      <sheetData sheetId="357">
        <row r="1">
          <cell r="D1" t="str">
            <v xml:space="preserve">Analog Signals  </v>
          </cell>
        </row>
      </sheetData>
      <sheetData sheetId="358">
        <row r="1">
          <cell r="D1" t="str">
            <v xml:space="preserve">Analog Signals  </v>
          </cell>
        </row>
      </sheetData>
      <sheetData sheetId="359">
        <row r="1">
          <cell r="D1" t="str">
            <v xml:space="preserve">Analog Signals  </v>
          </cell>
        </row>
      </sheetData>
      <sheetData sheetId="360">
        <row r="1">
          <cell r="D1" t="str">
            <v xml:space="preserve">Analog Signals  </v>
          </cell>
        </row>
      </sheetData>
      <sheetData sheetId="361">
        <row r="1">
          <cell r="D1" t="str">
            <v xml:space="preserve">Analog Signals  </v>
          </cell>
        </row>
      </sheetData>
      <sheetData sheetId="362">
        <row r="1">
          <cell r="D1" t="str">
            <v xml:space="preserve">Analog Signals  </v>
          </cell>
        </row>
      </sheetData>
      <sheetData sheetId="363">
        <row r="1">
          <cell r="D1" t="str">
            <v xml:space="preserve">Analog Signals  </v>
          </cell>
        </row>
      </sheetData>
      <sheetData sheetId="364">
        <row r="1">
          <cell r="D1" t="str">
            <v xml:space="preserve">Analog Signals  </v>
          </cell>
        </row>
      </sheetData>
      <sheetData sheetId="365">
        <row r="1">
          <cell r="D1" t="str">
            <v xml:space="preserve">Analog Signals  </v>
          </cell>
        </row>
      </sheetData>
      <sheetData sheetId="366">
        <row r="1">
          <cell r="D1" t="str">
            <v xml:space="preserve">Analog Signals  </v>
          </cell>
        </row>
      </sheetData>
      <sheetData sheetId="367">
        <row r="1">
          <cell r="D1" t="str">
            <v xml:space="preserve">Analog Signals  </v>
          </cell>
        </row>
      </sheetData>
      <sheetData sheetId="368">
        <row r="1">
          <cell r="D1" t="str">
            <v xml:space="preserve">Analog Signals  </v>
          </cell>
        </row>
      </sheetData>
      <sheetData sheetId="369">
        <row r="1">
          <cell r="D1" t="str">
            <v xml:space="preserve">Analog Signals  </v>
          </cell>
        </row>
      </sheetData>
      <sheetData sheetId="370">
        <row r="1">
          <cell r="D1" t="str">
            <v xml:space="preserve">Analog Signals  </v>
          </cell>
        </row>
      </sheetData>
      <sheetData sheetId="371">
        <row r="1">
          <cell r="D1" t="str">
            <v xml:space="preserve">Analog Signals  </v>
          </cell>
        </row>
      </sheetData>
      <sheetData sheetId="372">
        <row r="1">
          <cell r="D1" t="str">
            <v xml:space="preserve">Analog Signals  </v>
          </cell>
        </row>
      </sheetData>
      <sheetData sheetId="373">
        <row r="1">
          <cell r="D1" t="str">
            <v xml:space="preserve">Analog Signals  </v>
          </cell>
        </row>
      </sheetData>
      <sheetData sheetId="374">
        <row r="1">
          <cell r="D1" t="str">
            <v xml:space="preserve">Analog Signals  </v>
          </cell>
        </row>
      </sheetData>
      <sheetData sheetId="375">
        <row r="1">
          <cell r="D1" t="str">
            <v xml:space="preserve">Analog Signals  </v>
          </cell>
        </row>
      </sheetData>
      <sheetData sheetId="376">
        <row r="1">
          <cell r="D1" t="str">
            <v xml:space="preserve">Analog Signals  </v>
          </cell>
        </row>
      </sheetData>
      <sheetData sheetId="377">
        <row r="1">
          <cell r="D1" t="str">
            <v xml:space="preserve">Analog Signals  </v>
          </cell>
        </row>
      </sheetData>
      <sheetData sheetId="378">
        <row r="1">
          <cell r="D1" t="str">
            <v xml:space="preserve">Analog Signals  </v>
          </cell>
        </row>
      </sheetData>
      <sheetData sheetId="379">
        <row r="1">
          <cell r="D1" t="str">
            <v xml:space="preserve">Analog Signals  </v>
          </cell>
        </row>
      </sheetData>
      <sheetData sheetId="380">
        <row r="1">
          <cell r="D1" t="str">
            <v xml:space="preserve">Analog Signals  </v>
          </cell>
        </row>
      </sheetData>
      <sheetData sheetId="381">
        <row r="1">
          <cell r="D1" t="str">
            <v xml:space="preserve">Analog Signals  </v>
          </cell>
        </row>
      </sheetData>
      <sheetData sheetId="382">
        <row r="1">
          <cell r="D1" t="str">
            <v xml:space="preserve">Analog Signals  </v>
          </cell>
        </row>
      </sheetData>
      <sheetData sheetId="383">
        <row r="1">
          <cell r="D1" t="str">
            <v xml:space="preserve">Analog Signals  </v>
          </cell>
        </row>
      </sheetData>
      <sheetData sheetId="384">
        <row r="1">
          <cell r="D1" t="str">
            <v xml:space="preserve">Analog Signals  </v>
          </cell>
        </row>
      </sheetData>
      <sheetData sheetId="385">
        <row r="1">
          <cell r="D1" t="str">
            <v xml:space="preserve">Analog Signals  </v>
          </cell>
        </row>
      </sheetData>
      <sheetData sheetId="386">
        <row r="1">
          <cell r="D1" t="str">
            <v xml:space="preserve">Analog Signals  </v>
          </cell>
        </row>
      </sheetData>
      <sheetData sheetId="387">
        <row r="1">
          <cell r="D1" t="str">
            <v xml:space="preserve">Analog Signals  </v>
          </cell>
        </row>
      </sheetData>
      <sheetData sheetId="388">
        <row r="1">
          <cell r="D1" t="str">
            <v xml:space="preserve">Analog Signals  </v>
          </cell>
        </row>
      </sheetData>
      <sheetData sheetId="389">
        <row r="1">
          <cell r="D1" t="str">
            <v xml:space="preserve">Analog Signals  </v>
          </cell>
        </row>
      </sheetData>
      <sheetData sheetId="390">
        <row r="1">
          <cell r="D1" t="str">
            <v xml:space="preserve">Analog Signals  </v>
          </cell>
        </row>
      </sheetData>
      <sheetData sheetId="391">
        <row r="1">
          <cell r="D1" t="str">
            <v xml:space="preserve">Analog Signals  </v>
          </cell>
        </row>
      </sheetData>
      <sheetData sheetId="392">
        <row r="1">
          <cell r="D1" t="str">
            <v xml:space="preserve">Analog Signals  </v>
          </cell>
        </row>
      </sheetData>
      <sheetData sheetId="393">
        <row r="1">
          <cell r="D1" t="str">
            <v xml:space="preserve">Analog Signals  </v>
          </cell>
        </row>
      </sheetData>
      <sheetData sheetId="394">
        <row r="1">
          <cell r="D1" t="str">
            <v xml:space="preserve">Analog Signals  </v>
          </cell>
        </row>
      </sheetData>
      <sheetData sheetId="395">
        <row r="1">
          <cell r="D1" t="str">
            <v xml:space="preserve">Analog Signals  </v>
          </cell>
        </row>
      </sheetData>
      <sheetData sheetId="396">
        <row r="1">
          <cell r="D1" t="str">
            <v xml:space="preserve">Analog Signals  </v>
          </cell>
        </row>
      </sheetData>
      <sheetData sheetId="397">
        <row r="1">
          <cell r="D1" t="str">
            <v xml:space="preserve">Analog Signals  </v>
          </cell>
        </row>
      </sheetData>
      <sheetData sheetId="398">
        <row r="1">
          <cell r="D1" t="str">
            <v xml:space="preserve">Analog Signals  </v>
          </cell>
        </row>
      </sheetData>
      <sheetData sheetId="399">
        <row r="1">
          <cell r="D1" t="str">
            <v xml:space="preserve">Analog Signals  </v>
          </cell>
        </row>
      </sheetData>
      <sheetData sheetId="400">
        <row r="1">
          <cell r="D1" t="str">
            <v xml:space="preserve">Analog Signals  </v>
          </cell>
        </row>
      </sheetData>
      <sheetData sheetId="401">
        <row r="1">
          <cell r="D1" t="str">
            <v xml:space="preserve">Analog Signals  </v>
          </cell>
        </row>
      </sheetData>
      <sheetData sheetId="402">
        <row r="1">
          <cell r="D1" t="str">
            <v xml:space="preserve">Analog Signals  </v>
          </cell>
        </row>
      </sheetData>
      <sheetData sheetId="403">
        <row r="1">
          <cell r="D1" t="str">
            <v xml:space="preserve">Analog Signals  </v>
          </cell>
        </row>
      </sheetData>
      <sheetData sheetId="404">
        <row r="1">
          <cell r="D1" t="str">
            <v xml:space="preserve">Analog Signals  </v>
          </cell>
        </row>
      </sheetData>
      <sheetData sheetId="405">
        <row r="1">
          <cell r="D1" t="str">
            <v xml:space="preserve">Analog Signals  </v>
          </cell>
        </row>
      </sheetData>
      <sheetData sheetId="406">
        <row r="1">
          <cell r="D1" t="str">
            <v xml:space="preserve">Analog Signals  </v>
          </cell>
        </row>
      </sheetData>
      <sheetData sheetId="407">
        <row r="1">
          <cell r="D1" t="str">
            <v xml:space="preserve">Analog Signals  </v>
          </cell>
        </row>
      </sheetData>
      <sheetData sheetId="408">
        <row r="1">
          <cell r="D1" t="str">
            <v xml:space="preserve">Analog Signals  </v>
          </cell>
        </row>
      </sheetData>
      <sheetData sheetId="409">
        <row r="1">
          <cell r="D1" t="str">
            <v xml:space="preserve">Analog Signals  </v>
          </cell>
        </row>
      </sheetData>
      <sheetData sheetId="410">
        <row r="1">
          <cell r="D1" t="str">
            <v xml:space="preserve">Analog Signals  </v>
          </cell>
        </row>
      </sheetData>
      <sheetData sheetId="411">
        <row r="1">
          <cell r="D1" t="str">
            <v xml:space="preserve">Analog Signals  </v>
          </cell>
        </row>
      </sheetData>
      <sheetData sheetId="412">
        <row r="1">
          <cell r="D1" t="str">
            <v xml:space="preserve">Analog Signals  </v>
          </cell>
        </row>
      </sheetData>
      <sheetData sheetId="413">
        <row r="1">
          <cell r="D1" t="str">
            <v xml:space="preserve">Analog Signals  </v>
          </cell>
        </row>
      </sheetData>
      <sheetData sheetId="414">
        <row r="1">
          <cell r="D1" t="str">
            <v xml:space="preserve">Analog Signals  </v>
          </cell>
        </row>
      </sheetData>
      <sheetData sheetId="415">
        <row r="1">
          <cell r="D1" t="str">
            <v xml:space="preserve">Analog Signals  </v>
          </cell>
        </row>
      </sheetData>
      <sheetData sheetId="416">
        <row r="1">
          <cell r="D1" t="str">
            <v xml:space="preserve">Analog Signals  </v>
          </cell>
        </row>
      </sheetData>
      <sheetData sheetId="417">
        <row r="1">
          <cell r="D1" t="str">
            <v xml:space="preserve">Analog Signals  </v>
          </cell>
        </row>
      </sheetData>
      <sheetData sheetId="418">
        <row r="1">
          <cell r="D1" t="str">
            <v xml:space="preserve">Analog Signals  </v>
          </cell>
        </row>
      </sheetData>
      <sheetData sheetId="419">
        <row r="1">
          <cell r="D1" t="str">
            <v xml:space="preserve">Analog Signals  </v>
          </cell>
        </row>
      </sheetData>
      <sheetData sheetId="420">
        <row r="1">
          <cell r="D1" t="str">
            <v xml:space="preserve">Analog Signals  </v>
          </cell>
        </row>
      </sheetData>
      <sheetData sheetId="421">
        <row r="1">
          <cell r="D1" t="str">
            <v xml:space="preserve">Analog Signals  </v>
          </cell>
        </row>
      </sheetData>
      <sheetData sheetId="422">
        <row r="1">
          <cell r="D1" t="str">
            <v xml:space="preserve">Analog Signals  </v>
          </cell>
        </row>
      </sheetData>
      <sheetData sheetId="423">
        <row r="1">
          <cell r="D1" t="str">
            <v xml:space="preserve">Analog Signals  </v>
          </cell>
        </row>
      </sheetData>
      <sheetData sheetId="424">
        <row r="1">
          <cell r="D1" t="str">
            <v xml:space="preserve">Analog Signals  </v>
          </cell>
        </row>
      </sheetData>
      <sheetData sheetId="425">
        <row r="1">
          <cell r="D1" t="str">
            <v xml:space="preserve">Analog Signals  </v>
          </cell>
        </row>
      </sheetData>
      <sheetData sheetId="426">
        <row r="1">
          <cell r="D1" t="str">
            <v xml:space="preserve">Analog Signals  </v>
          </cell>
        </row>
      </sheetData>
      <sheetData sheetId="427" refreshError="1"/>
      <sheetData sheetId="428" refreshError="1"/>
      <sheetData sheetId="429" refreshError="1"/>
      <sheetData sheetId="430" refreshError="1"/>
      <sheetData sheetId="431">
        <row r="1">
          <cell r="D1" t="str">
            <v xml:space="preserve">Analog Signals  </v>
          </cell>
        </row>
      </sheetData>
      <sheetData sheetId="432">
        <row r="1">
          <cell r="D1" t="str">
            <v xml:space="preserve">Analog Signals  </v>
          </cell>
        </row>
      </sheetData>
      <sheetData sheetId="433">
        <row r="1">
          <cell r="D1" t="str">
            <v xml:space="preserve">Analog Signals  </v>
          </cell>
        </row>
      </sheetData>
      <sheetData sheetId="434">
        <row r="1">
          <cell r="D1" t="str">
            <v xml:space="preserve">Analog Signals  </v>
          </cell>
        </row>
      </sheetData>
      <sheetData sheetId="435">
        <row r="1">
          <cell r="D1" t="str">
            <v xml:space="preserve">Analog Signals  </v>
          </cell>
        </row>
      </sheetData>
      <sheetData sheetId="436">
        <row r="1">
          <cell r="D1" t="str">
            <v xml:space="preserve">Analog Signals  </v>
          </cell>
        </row>
      </sheetData>
      <sheetData sheetId="437">
        <row r="1">
          <cell r="D1" t="str">
            <v xml:space="preserve">Analog Signals  </v>
          </cell>
        </row>
      </sheetData>
      <sheetData sheetId="438">
        <row r="1">
          <cell r="D1" t="str">
            <v xml:space="preserve">Analog Signals  </v>
          </cell>
        </row>
      </sheetData>
      <sheetData sheetId="439">
        <row r="1">
          <cell r="D1" t="str">
            <v xml:space="preserve">Analog Signals  </v>
          </cell>
        </row>
      </sheetData>
      <sheetData sheetId="440">
        <row r="1">
          <cell r="D1" t="str">
            <v xml:space="preserve">Analog Signals  </v>
          </cell>
        </row>
      </sheetData>
      <sheetData sheetId="441">
        <row r="1">
          <cell r="D1" t="str">
            <v xml:space="preserve">Analog Signals  </v>
          </cell>
        </row>
      </sheetData>
      <sheetData sheetId="442">
        <row r="1">
          <cell r="D1" t="str">
            <v xml:space="preserve">Analog Signals  </v>
          </cell>
        </row>
      </sheetData>
      <sheetData sheetId="443">
        <row r="1">
          <cell r="D1" t="str">
            <v xml:space="preserve">Analog Signals  </v>
          </cell>
        </row>
      </sheetData>
      <sheetData sheetId="444">
        <row r="1">
          <cell r="D1" t="str">
            <v xml:space="preserve">Analog Signals  </v>
          </cell>
        </row>
      </sheetData>
      <sheetData sheetId="445">
        <row r="1">
          <cell r="D1" t="str">
            <v xml:space="preserve">Analog Signals  </v>
          </cell>
        </row>
      </sheetData>
      <sheetData sheetId="446">
        <row r="1">
          <cell r="D1" t="str">
            <v xml:space="preserve">Analog Signals  </v>
          </cell>
        </row>
      </sheetData>
      <sheetData sheetId="447">
        <row r="1">
          <cell r="D1" t="str">
            <v xml:space="preserve">Analog Signals  </v>
          </cell>
        </row>
      </sheetData>
      <sheetData sheetId="448">
        <row r="1">
          <cell r="D1" t="str">
            <v xml:space="preserve">Analog Signals  </v>
          </cell>
        </row>
      </sheetData>
      <sheetData sheetId="449">
        <row r="1">
          <cell r="D1" t="str">
            <v xml:space="preserve">Analog Signals  </v>
          </cell>
        </row>
      </sheetData>
      <sheetData sheetId="450">
        <row r="1">
          <cell r="D1" t="str">
            <v xml:space="preserve">Analog Signals  </v>
          </cell>
        </row>
      </sheetData>
      <sheetData sheetId="451">
        <row r="1">
          <cell r="D1" t="str">
            <v xml:space="preserve">Analog Signals  </v>
          </cell>
        </row>
      </sheetData>
      <sheetData sheetId="452">
        <row r="1">
          <cell r="D1" t="str">
            <v xml:space="preserve">Analog Signals  </v>
          </cell>
        </row>
      </sheetData>
      <sheetData sheetId="453">
        <row r="1">
          <cell r="D1" t="str">
            <v xml:space="preserve">Analog Signals  </v>
          </cell>
        </row>
      </sheetData>
      <sheetData sheetId="454">
        <row r="1">
          <cell r="D1" t="str">
            <v xml:space="preserve">Analog Signals  </v>
          </cell>
        </row>
      </sheetData>
      <sheetData sheetId="455">
        <row r="1">
          <cell r="D1" t="str">
            <v xml:space="preserve">Analog Signals  </v>
          </cell>
        </row>
      </sheetData>
      <sheetData sheetId="456">
        <row r="1">
          <cell r="D1" t="str">
            <v xml:space="preserve">Analog Signals  </v>
          </cell>
        </row>
      </sheetData>
      <sheetData sheetId="457">
        <row r="1">
          <cell r="D1" t="str">
            <v xml:space="preserve">Analog Signals  </v>
          </cell>
        </row>
      </sheetData>
      <sheetData sheetId="458">
        <row r="1">
          <cell r="D1" t="str">
            <v xml:space="preserve">Analog Signals  </v>
          </cell>
        </row>
      </sheetData>
      <sheetData sheetId="459">
        <row r="1">
          <cell r="D1" t="str">
            <v xml:space="preserve">Analog Signals  </v>
          </cell>
        </row>
      </sheetData>
      <sheetData sheetId="460">
        <row r="1">
          <cell r="D1" t="str">
            <v xml:space="preserve">Analog Signals  </v>
          </cell>
        </row>
      </sheetData>
      <sheetData sheetId="461">
        <row r="1">
          <cell r="D1" t="str">
            <v xml:space="preserve">Analog Signals  </v>
          </cell>
        </row>
      </sheetData>
      <sheetData sheetId="462">
        <row r="1">
          <cell r="D1" t="str">
            <v xml:space="preserve">Analog Signals  </v>
          </cell>
        </row>
      </sheetData>
      <sheetData sheetId="463">
        <row r="1">
          <cell r="D1" t="str">
            <v xml:space="preserve">Analog Signals  </v>
          </cell>
        </row>
      </sheetData>
      <sheetData sheetId="464">
        <row r="1">
          <cell r="D1" t="str">
            <v xml:space="preserve">Analog Signals  </v>
          </cell>
        </row>
      </sheetData>
      <sheetData sheetId="465">
        <row r="1">
          <cell r="D1" t="str">
            <v xml:space="preserve">Analog Signals  </v>
          </cell>
        </row>
      </sheetData>
      <sheetData sheetId="466">
        <row r="1">
          <cell r="D1" t="str">
            <v xml:space="preserve">Analog Signals  </v>
          </cell>
        </row>
      </sheetData>
      <sheetData sheetId="467">
        <row r="1">
          <cell r="D1" t="str">
            <v xml:space="preserve">Analog Signals  </v>
          </cell>
        </row>
      </sheetData>
      <sheetData sheetId="468" refreshError="1"/>
      <sheetData sheetId="469" refreshError="1"/>
      <sheetData sheetId="470" refreshError="1"/>
      <sheetData sheetId="471" refreshError="1"/>
      <sheetData sheetId="472" refreshError="1"/>
      <sheetData sheetId="473">
        <row r="1">
          <cell r="D1" t="str">
            <v xml:space="preserve">Analog Signals  </v>
          </cell>
        </row>
      </sheetData>
      <sheetData sheetId="474">
        <row r="1">
          <cell r="D1" t="str">
            <v xml:space="preserve">Analog Signals  </v>
          </cell>
        </row>
      </sheetData>
      <sheetData sheetId="475">
        <row r="1">
          <cell r="D1" t="str">
            <v xml:space="preserve">Analog Signals  </v>
          </cell>
        </row>
      </sheetData>
      <sheetData sheetId="476">
        <row r="1">
          <cell r="D1" t="str">
            <v xml:space="preserve">Analog Signals  </v>
          </cell>
        </row>
      </sheetData>
      <sheetData sheetId="477">
        <row r="1">
          <cell r="D1" t="str">
            <v xml:space="preserve">Analog Signals  </v>
          </cell>
        </row>
      </sheetData>
      <sheetData sheetId="478">
        <row r="1">
          <cell r="D1" t="str">
            <v xml:space="preserve">Analog Signals  </v>
          </cell>
        </row>
      </sheetData>
      <sheetData sheetId="479">
        <row r="1">
          <cell r="D1" t="str">
            <v xml:space="preserve">Analog Signals  </v>
          </cell>
        </row>
      </sheetData>
      <sheetData sheetId="480">
        <row r="1">
          <cell r="D1" t="str">
            <v xml:space="preserve">Analog Signals  </v>
          </cell>
        </row>
      </sheetData>
      <sheetData sheetId="481">
        <row r="1">
          <cell r="D1" t="str">
            <v xml:space="preserve">Analog Signals  </v>
          </cell>
        </row>
      </sheetData>
      <sheetData sheetId="482">
        <row r="1">
          <cell r="D1" t="str">
            <v xml:space="preserve">Analog Signals  </v>
          </cell>
        </row>
      </sheetData>
      <sheetData sheetId="483">
        <row r="1">
          <cell r="D1" t="str">
            <v xml:space="preserve">Analog Signals  </v>
          </cell>
        </row>
      </sheetData>
      <sheetData sheetId="484">
        <row r="1">
          <cell r="D1" t="str">
            <v xml:space="preserve">Analog Signals  </v>
          </cell>
        </row>
      </sheetData>
      <sheetData sheetId="485">
        <row r="1">
          <cell r="D1" t="str">
            <v xml:space="preserve">Analog Signals  </v>
          </cell>
        </row>
      </sheetData>
      <sheetData sheetId="486">
        <row r="1">
          <cell r="D1" t="str">
            <v xml:space="preserve">Analog Signals  </v>
          </cell>
        </row>
      </sheetData>
      <sheetData sheetId="487">
        <row r="1">
          <cell r="D1" t="str">
            <v xml:space="preserve">Analog Signals  </v>
          </cell>
        </row>
      </sheetData>
      <sheetData sheetId="488">
        <row r="1">
          <cell r="D1" t="str">
            <v xml:space="preserve">Analog Signals  </v>
          </cell>
        </row>
      </sheetData>
      <sheetData sheetId="489">
        <row r="1">
          <cell r="D1" t="str">
            <v xml:space="preserve">Analog Signals  </v>
          </cell>
        </row>
      </sheetData>
      <sheetData sheetId="490">
        <row r="1">
          <cell r="D1" t="str">
            <v xml:space="preserve">Analog Signals  </v>
          </cell>
        </row>
      </sheetData>
      <sheetData sheetId="491">
        <row r="1">
          <cell r="D1" t="str">
            <v xml:space="preserve">Analog Signals  </v>
          </cell>
        </row>
      </sheetData>
      <sheetData sheetId="492">
        <row r="1">
          <cell r="D1" t="str">
            <v xml:space="preserve">Analog Signals  </v>
          </cell>
        </row>
      </sheetData>
      <sheetData sheetId="493">
        <row r="1">
          <cell r="D1" t="str">
            <v xml:space="preserve">Analog Signals  </v>
          </cell>
        </row>
      </sheetData>
      <sheetData sheetId="494">
        <row r="1">
          <cell r="D1" t="str">
            <v xml:space="preserve">Analog Signals  </v>
          </cell>
        </row>
      </sheetData>
      <sheetData sheetId="495">
        <row r="1">
          <cell r="D1" t="str">
            <v xml:space="preserve">Analog Signals  </v>
          </cell>
        </row>
      </sheetData>
      <sheetData sheetId="496">
        <row r="1">
          <cell r="D1" t="str">
            <v xml:space="preserve">Analog Signals  </v>
          </cell>
        </row>
      </sheetData>
      <sheetData sheetId="497">
        <row r="1">
          <cell r="D1" t="str">
            <v xml:space="preserve">Analog Signals  </v>
          </cell>
        </row>
      </sheetData>
      <sheetData sheetId="498">
        <row r="1">
          <cell r="D1" t="str">
            <v xml:space="preserve">Analog Signals  </v>
          </cell>
        </row>
      </sheetData>
      <sheetData sheetId="499">
        <row r="1">
          <cell r="D1" t="str">
            <v xml:space="preserve">Analog Signals  </v>
          </cell>
        </row>
      </sheetData>
      <sheetData sheetId="500">
        <row r="1">
          <cell r="D1" t="str">
            <v xml:space="preserve">Analog Signals  </v>
          </cell>
        </row>
      </sheetData>
      <sheetData sheetId="501">
        <row r="1">
          <cell r="D1" t="str">
            <v xml:space="preserve">Analog Signals  </v>
          </cell>
        </row>
      </sheetData>
      <sheetData sheetId="502">
        <row r="1">
          <cell r="D1" t="str">
            <v xml:space="preserve">Analog Signals  </v>
          </cell>
        </row>
      </sheetData>
      <sheetData sheetId="503">
        <row r="1">
          <cell r="D1" t="str">
            <v xml:space="preserve">Analog Signals  </v>
          </cell>
        </row>
      </sheetData>
      <sheetData sheetId="504">
        <row r="1">
          <cell r="D1" t="str">
            <v xml:space="preserve">Analog Signals  </v>
          </cell>
        </row>
      </sheetData>
      <sheetData sheetId="505">
        <row r="1">
          <cell r="D1" t="str">
            <v xml:space="preserve">Analog Signals  </v>
          </cell>
        </row>
      </sheetData>
      <sheetData sheetId="506">
        <row r="1">
          <cell r="D1" t="str">
            <v xml:space="preserve">Analog Signals  </v>
          </cell>
        </row>
      </sheetData>
      <sheetData sheetId="507">
        <row r="1">
          <cell r="D1" t="str">
            <v xml:space="preserve">Analog Signals  </v>
          </cell>
        </row>
      </sheetData>
      <sheetData sheetId="508">
        <row r="1">
          <cell r="D1" t="str">
            <v xml:space="preserve">Analog Signals  </v>
          </cell>
        </row>
      </sheetData>
      <sheetData sheetId="509">
        <row r="1">
          <cell r="D1" t="str">
            <v xml:space="preserve">Analog Signals  </v>
          </cell>
        </row>
      </sheetData>
      <sheetData sheetId="510">
        <row r="1">
          <cell r="D1" t="str">
            <v xml:space="preserve">Analog Signals  </v>
          </cell>
        </row>
      </sheetData>
      <sheetData sheetId="511">
        <row r="1">
          <cell r="D1" t="str">
            <v xml:space="preserve">Analog Signals  </v>
          </cell>
        </row>
      </sheetData>
      <sheetData sheetId="512">
        <row r="1">
          <cell r="D1" t="str">
            <v xml:space="preserve">Analog Signals  </v>
          </cell>
        </row>
      </sheetData>
      <sheetData sheetId="513">
        <row r="1">
          <cell r="D1" t="str">
            <v xml:space="preserve">Analog Signals  </v>
          </cell>
        </row>
      </sheetData>
      <sheetData sheetId="514">
        <row r="1">
          <cell r="D1" t="str">
            <v xml:space="preserve">Analog Signals  </v>
          </cell>
        </row>
      </sheetData>
      <sheetData sheetId="515">
        <row r="1">
          <cell r="D1" t="str">
            <v xml:space="preserve">Analog Signals  </v>
          </cell>
        </row>
      </sheetData>
      <sheetData sheetId="516">
        <row r="1">
          <cell r="D1" t="str">
            <v xml:space="preserve">Analog Signals  </v>
          </cell>
        </row>
      </sheetData>
      <sheetData sheetId="517">
        <row r="1">
          <cell r="D1" t="str">
            <v xml:space="preserve">Analog Signals  </v>
          </cell>
        </row>
      </sheetData>
      <sheetData sheetId="518">
        <row r="1">
          <cell r="D1" t="str">
            <v xml:space="preserve">Analog Signals  </v>
          </cell>
        </row>
      </sheetData>
      <sheetData sheetId="519">
        <row r="1">
          <cell r="D1" t="str">
            <v xml:space="preserve">Analog Signals  </v>
          </cell>
        </row>
      </sheetData>
      <sheetData sheetId="520">
        <row r="1">
          <cell r="D1" t="str">
            <v xml:space="preserve">Analog Signals  </v>
          </cell>
        </row>
      </sheetData>
      <sheetData sheetId="521">
        <row r="1">
          <cell r="D1" t="str">
            <v xml:space="preserve">Analog Signals  </v>
          </cell>
        </row>
      </sheetData>
      <sheetData sheetId="522">
        <row r="1">
          <cell r="D1" t="str">
            <v xml:space="preserve">Analog Signals  </v>
          </cell>
        </row>
      </sheetData>
      <sheetData sheetId="523">
        <row r="1">
          <cell r="D1" t="str">
            <v xml:space="preserve">Analog Signals  </v>
          </cell>
        </row>
      </sheetData>
      <sheetData sheetId="524">
        <row r="1">
          <cell r="D1" t="str">
            <v xml:space="preserve">Analog Signals  </v>
          </cell>
        </row>
      </sheetData>
      <sheetData sheetId="525">
        <row r="1">
          <cell r="D1" t="str">
            <v xml:space="preserve">Analog Signals  </v>
          </cell>
        </row>
      </sheetData>
      <sheetData sheetId="526">
        <row r="1">
          <cell r="D1" t="str">
            <v xml:space="preserve">Analog Signals  </v>
          </cell>
        </row>
      </sheetData>
      <sheetData sheetId="527">
        <row r="1">
          <cell r="D1" t="str">
            <v xml:space="preserve">Analog Signals  </v>
          </cell>
        </row>
      </sheetData>
      <sheetData sheetId="528">
        <row r="1">
          <cell r="D1" t="str">
            <v xml:space="preserve">Analog Signals  </v>
          </cell>
        </row>
      </sheetData>
      <sheetData sheetId="529">
        <row r="1">
          <cell r="D1" t="str">
            <v xml:space="preserve">Analog Signals  </v>
          </cell>
        </row>
      </sheetData>
      <sheetData sheetId="530">
        <row r="1">
          <cell r="D1" t="str">
            <v xml:space="preserve">Analog Signals  </v>
          </cell>
        </row>
      </sheetData>
      <sheetData sheetId="531">
        <row r="1">
          <cell r="D1" t="str">
            <v xml:space="preserve">Analog Signals  </v>
          </cell>
        </row>
      </sheetData>
      <sheetData sheetId="532">
        <row r="1">
          <cell r="D1" t="str">
            <v xml:space="preserve">Analog Signals  </v>
          </cell>
        </row>
      </sheetData>
      <sheetData sheetId="533">
        <row r="1">
          <cell r="D1" t="str">
            <v xml:space="preserve">Analog Signals  </v>
          </cell>
        </row>
      </sheetData>
      <sheetData sheetId="534">
        <row r="1">
          <cell r="D1" t="str">
            <v xml:space="preserve">Analog Signals  </v>
          </cell>
        </row>
      </sheetData>
      <sheetData sheetId="535">
        <row r="1">
          <cell r="D1" t="str">
            <v xml:space="preserve">Analog Signals  </v>
          </cell>
        </row>
      </sheetData>
      <sheetData sheetId="536">
        <row r="1">
          <cell r="D1" t="str">
            <v xml:space="preserve">Analog Signals  </v>
          </cell>
        </row>
      </sheetData>
      <sheetData sheetId="537">
        <row r="1">
          <cell r="D1" t="str">
            <v xml:space="preserve">Analog Signals  </v>
          </cell>
        </row>
      </sheetData>
      <sheetData sheetId="538">
        <row r="1">
          <cell r="D1" t="str">
            <v xml:space="preserve">Analog Signals  </v>
          </cell>
        </row>
      </sheetData>
      <sheetData sheetId="539">
        <row r="1">
          <cell r="D1" t="str">
            <v xml:space="preserve">Analog Signals  </v>
          </cell>
        </row>
      </sheetData>
      <sheetData sheetId="540">
        <row r="1">
          <cell r="D1" t="str">
            <v xml:space="preserve">Analog Signals  </v>
          </cell>
        </row>
      </sheetData>
      <sheetData sheetId="541">
        <row r="1">
          <cell r="D1" t="str">
            <v xml:space="preserve">Analog Signals  </v>
          </cell>
        </row>
      </sheetData>
      <sheetData sheetId="542">
        <row r="1">
          <cell r="D1" t="str">
            <v xml:space="preserve">Analog Signals  </v>
          </cell>
        </row>
      </sheetData>
      <sheetData sheetId="543">
        <row r="1">
          <cell r="D1" t="str">
            <v xml:space="preserve">Analog Signals  </v>
          </cell>
        </row>
      </sheetData>
      <sheetData sheetId="544">
        <row r="1">
          <cell r="D1" t="str">
            <v xml:space="preserve">Analog Signals  </v>
          </cell>
        </row>
      </sheetData>
      <sheetData sheetId="545">
        <row r="1">
          <cell r="D1" t="str">
            <v xml:space="preserve">Analog Signals  </v>
          </cell>
        </row>
      </sheetData>
      <sheetData sheetId="546">
        <row r="1">
          <cell r="D1" t="str">
            <v xml:space="preserve">Analog Signals  </v>
          </cell>
        </row>
      </sheetData>
      <sheetData sheetId="547">
        <row r="1">
          <cell r="D1" t="str">
            <v xml:space="preserve">Analog Signals  </v>
          </cell>
        </row>
      </sheetData>
      <sheetData sheetId="548">
        <row r="1">
          <cell r="D1" t="str">
            <v xml:space="preserve">Analog Signals  </v>
          </cell>
        </row>
      </sheetData>
      <sheetData sheetId="549">
        <row r="1">
          <cell r="D1" t="str">
            <v xml:space="preserve">Analog Signals  </v>
          </cell>
        </row>
      </sheetData>
      <sheetData sheetId="550">
        <row r="1">
          <cell r="D1" t="str">
            <v xml:space="preserve">Analog Signals  </v>
          </cell>
        </row>
      </sheetData>
      <sheetData sheetId="551">
        <row r="1">
          <cell r="D1" t="str">
            <v xml:space="preserve">Analog Signals  </v>
          </cell>
        </row>
      </sheetData>
      <sheetData sheetId="552">
        <row r="1">
          <cell r="D1" t="str">
            <v xml:space="preserve">Analog Signals  </v>
          </cell>
        </row>
      </sheetData>
      <sheetData sheetId="553">
        <row r="1">
          <cell r="D1" t="str">
            <v xml:space="preserve">Analog Signals  </v>
          </cell>
        </row>
      </sheetData>
      <sheetData sheetId="554">
        <row r="1">
          <cell r="D1" t="str">
            <v xml:space="preserve">Analog Signals  </v>
          </cell>
        </row>
      </sheetData>
      <sheetData sheetId="555">
        <row r="1">
          <cell r="D1" t="str">
            <v xml:space="preserve">Analog Signals  </v>
          </cell>
        </row>
      </sheetData>
      <sheetData sheetId="556">
        <row r="1">
          <cell r="D1" t="str">
            <v xml:space="preserve">Analog Signals  </v>
          </cell>
        </row>
      </sheetData>
      <sheetData sheetId="557">
        <row r="1">
          <cell r="D1" t="str">
            <v xml:space="preserve">Analog Signals  </v>
          </cell>
        </row>
      </sheetData>
      <sheetData sheetId="558">
        <row r="1">
          <cell r="D1" t="str">
            <v xml:space="preserve">Analog Signals  </v>
          </cell>
        </row>
      </sheetData>
      <sheetData sheetId="559">
        <row r="1">
          <cell r="D1" t="str">
            <v xml:space="preserve">Analog Signals  </v>
          </cell>
        </row>
      </sheetData>
      <sheetData sheetId="560">
        <row r="1">
          <cell r="D1" t="str">
            <v xml:space="preserve">Analog Signals  </v>
          </cell>
        </row>
      </sheetData>
      <sheetData sheetId="561">
        <row r="1">
          <cell r="D1" t="str">
            <v xml:space="preserve">Analog Signals  </v>
          </cell>
        </row>
      </sheetData>
      <sheetData sheetId="562">
        <row r="1">
          <cell r="D1" t="str">
            <v xml:space="preserve">Analog Signals  </v>
          </cell>
        </row>
      </sheetData>
      <sheetData sheetId="563">
        <row r="1">
          <cell r="D1" t="str">
            <v xml:space="preserve">Analog Signals  </v>
          </cell>
        </row>
      </sheetData>
      <sheetData sheetId="564">
        <row r="1">
          <cell r="D1" t="str">
            <v xml:space="preserve">Analog Signals  </v>
          </cell>
        </row>
      </sheetData>
      <sheetData sheetId="565">
        <row r="1">
          <cell r="D1" t="str">
            <v xml:space="preserve">Analog Signals  </v>
          </cell>
        </row>
      </sheetData>
      <sheetData sheetId="566">
        <row r="1">
          <cell r="D1" t="str">
            <v xml:space="preserve">Analog Signals  </v>
          </cell>
        </row>
      </sheetData>
      <sheetData sheetId="567">
        <row r="1">
          <cell r="D1" t="str">
            <v xml:space="preserve">Analog Signals  </v>
          </cell>
        </row>
      </sheetData>
      <sheetData sheetId="568">
        <row r="1">
          <cell r="D1" t="str">
            <v xml:space="preserve">Analog Signals  </v>
          </cell>
        </row>
      </sheetData>
      <sheetData sheetId="569">
        <row r="1">
          <cell r="D1" t="str">
            <v xml:space="preserve">Analog Signals  </v>
          </cell>
        </row>
      </sheetData>
      <sheetData sheetId="570">
        <row r="1">
          <cell r="D1" t="str">
            <v xml:space="preserve">Analog Signals  </v>
          </cell>
        </row>
      </sheetData>
      <sheetData sheetId="571">
        <row r="1">
          <cell r="D1" t="str">
            <v xml:space="preserve">Analog Signals  </v>
          </cell>
        </row>
      </sheetData>
      <sheetData sheetId="572">
        <row r="1">
          <cell r="D1" t="str">
            <v xml:space="preserve">Analog Signals  </v>
          </cell>
        </row>
      </sheetData>
      <sheetData sheetId="573">
        <row r="1">
          <cell r="D1" t="str">
            <v xml:space="preserve">Analog Signals  </v>
          </cell>
        </row>
      </sheetData>
      <sheetData sheetId="574">
        <row r="1">
          <cell r="D1" t="str">
            <v xml:space="preserve">Analog Signals  </v>
          </cell>
        </row>
      </sheetData>
      <sheetData sheetId="575">
        <row r="1">
          <cell r="D1" t="str">
            <v xml:space="preserve">Analog Signals  </v>
          </cell>
        </row>
      </sheetData>
      <sheetData sheetId="576">
        <row r="1">
          <cell r="D1" t="str">
            <v xml:space="preserve">Analog Signals  </v>
          </cell>
        </row>
      </sheetData>
      <sheetData sheetId="577">
        <row r="1">
          <cell r="D1" t="str">
            <v xml:space="preserve">Analog Signals  </v>
          </cell>
        </row>
      </sheetData>
      <sheetData sheetId="578">
        <row r="1">
          <cell r="D1" t="str">
            <v xml:space="preserve">Analog Signals  </v>
          </cell>
        </row>
      </sheetData>
      <sheetData sheetId="579">
        <row r="1">
          <cell r="D1" t="str">
            <v xml:space="preserve">Analog Signals  </v>
          </cell>
        </row>
      </sheetData>
      <sheetData sheetId="580">
        <row r="1">
          <cell r="D1" t="str">
            <v xml:space="preserve">Analog Signals  </v>
          </cell>
        </row>
      </sheetData>
      <sheetData sheetId="581">
        <row r="1">
          <cell r="D1" t="str">
            <v xml:space="preserve">Analog Signals  </v>
          </cell>
        </row>
      </sheetData>
      <sheetData sheetId="582">
        <row r="1">
          <cell r="D1" t="str">
            <v xml:space="preserve">Analog Signals  </v>
          </cell>
        </row>
      </sheetData>
      <sheetData sheetId="583">
        <row r="1">
          <cell r="D1" t="str">
            <v xml:space="preserve">Analog Signals  </v>
          </cell>
        </row>
      </sheetData>
      <sheetData sheetId="584">
        <row r="1">
          <cell r="D1" t="str">
            <v xml:space="preserve">Analog Signals  </v>
          </cell>
        </row>
      </sheetData>
      <sheetData sheetId="585">
        <row r="1">
          <cell r="D1" t="str">
            <v xml:space="preserve">Analog Signals  </v>
          </cell>
        </row>
      </sheetData>
      <sheetData sheetId="586">
        <row r="1">
          <cell r="D1" t="str">
            <v xml:space="preserve">Analog Signals  </v>
          </cell>
        </row>
      </sheetData>
      <sheetData sheetId="587">
        <row r="1">
          <cell r="D1" t="str">
            <v xml:space="preserve">Analog Signals  </v>
          </cell>
        </row>
      </sheetData>
      <sheetData sheetId="588">
        <row r="1">
          <cell r="D1" t="str">
            <v xml:space="preserve">Analog Signals  </v>
          </cell>
        </row>
      </sheetData>
      <sheetData sheetId="589">
        <row r="1">
          <cell r="D1" t="str">
            <v xml:space="preserve">Analog Signals  </v>
          </cell>
        </row>
      </sheetData>
      <sheetData sheetId="590">
        <row r="1">
          <cell r="D1" t="str">
            <v xml:space="preserve">Analog Signals  </v>
          </cell>
        </row>
      </sheetData>
      <sheetData sheetId="591">
        <row r="1">
          <cell r="D1" t="str">
            <v xml:space="preserve">Analog Signals  </v>
          </cell>
        </row>
      </sheetData>
      <sheetData sheetId="592">
        <row r="1">
          <cell r="D1" t="str">
            <v xml:space="preserve">Analog Signals  </v>
          </cell>
        </row>
      </sheetData>
      <sheetData sheetId="593">
        <row r="1">
          <cell r="D1" t="str">
            <v xml:space="preserve">Analog Signals  </v>
          </cell>
        </row>
      </sheetData>
      <sheetData sheetId="594">
        <row r="1">
          <cell r="D1" t="str">
            <v xml:space="preserve">Analog Signals  </v>
          </cell>
        </row>
      </sheetData>
      <sheetData sheetId="595">
        <row r="1">
          <cell r="D1" t="str">
            <v xml:space="preserve">Analog Signals  </v>
          </cell>
        </row>
      </sheetData>
      <sheetData sheetId="596">
        <row r="1">
          <cell r="D1" t="str">
            <v xml:space="preserve">Analog Signals  </v>
          </cell>
        </row>
      </sheetData>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ow r="1">
          <cell r="D1" t="str">
            <v xml:space="preserve">Analog Signals  </v>
          </cell>
        </row>
      </sheetData>
      <sheetData sheetId="631">
        <row r="1">
          <cell r="D1" t="str">
            <v xml:space="preserve">Analog Signals  </v>
          </cell>
        </row>
      </sheetData>
      <sheetData sheetId="632">
        <row r="1">
          <cell r="D1" t="str">
            <v xml:space="preserve">Analog Signals  </v>
          </cell>
        </row>
      </sheetData>
      <sheetData sheetId="633">
        <row r="1">
          <cell r="D1" t="str">
            <v xml:space="preserve">Analog Signals  </v>
          </cell>
        </row>
      </sheetData>
      <sheetData sheetId="634">
        <row r="1">
          <cell r="D1" t="str">
            <v xml:space="preserve">Analog Signals  </v>
          </cell>
        </row>
      </sheetData>
      <sheetData sheetId="635">
        <row r="1">
          <cell r="D1" t="str">
            <v xml:space="preserve">Analog Signals  </v>
          </cell>
        </row>
      </sheetData>
      <sheetData sheetId="636">
        <row r="1">
          <cell r="D1" t="str">
            <v xml:space="preserve">Analog Signals  </v>
          </cell>
        </row>
      </sheetData>
      <sheetData sheetId="637">
        <row r="1">
          <cell r="D1" t="str">
            <v xml:space="preserve">Analog Signals  </v>
          </cell>
        </row>
      </sheetData>
      <sheetData sheetId="638">
        <row r="1">
          <cell r="D1" t="str">
            <v xml:space="preserve">Analog Signals  </v>
          </cell>
        </row>
      </sheetData>
      <sheetData sheetId="639">
        <row r="1">
          <cell r="D1" t="str">
            <v xml:space="preserve">Analog Signals  </v>
          </cell>
        </row>
      </sheetData>
      <sheetData sheetId="640">
        <row r="1">
          <cell r="D1" t="str">
            <v xml:space="preserve">Analog Signals  </v>
          </cell>
        </row>
      </sheetData>
      <sheetData sheetId="641">
        <row r="1">
          <cell r="D1" t="str">
            <v xml:space="preserve">Analog Signals  </v>
          </cell>
        </row>
      </sheetData>
      <sheetData sheetId="642">
        <row r="1">
          <cell r="D1" t="str">
            <v xml:space="preserve">Analog Signals  </v>
          </cell>
        </row>
      </sheetData>
      <sheetData sheetId="643">
        <row r="1">
          <cell r="D1" t="str">
            <v xml:space="preserve">Analog Signals  </v>
          </cell>
        </row>
      </sheetData>
      <sheetData sheetId="644">
        <row r="1">
          <cell r="D1" t="str">
            <v xml:space="preserve">Analog Signals  </v>
          </cell>
        </row>
      </sheetData>
      <sheetData sheetId="645">
        <row r="1">
          <cell r="D1" t="str">
            <v xml:space="preserve">Analog Signals  </v>
          </cell>
        </row>
      </sheetData>
      <sheetData sheetId="646">
        <row r="1">
          <cell r="D1" t="str">
            <v xml:space="preserve">Analog Signals  </v>
          </cell>
        </row>
      </sheetData>
      <sheetData sheetId="647">
        <row r="1">
          <cell r="D1" t="str">
            <v xml:space="preserve">Analog Signals  </v>
          </cell>
        </row>
      </sheetData>
      <sheetData sheetId="648">
        <row r="1">
          <cell r="D1" t="str">
            <v xml:space="preserve">Analog Signals  </v>
          </cell>
        </row>
      </sheetData>
      <sheetData sheetId="649">
        <row r="1">
          <cell r="D1" t="str">
            <v xml:space="preserve">Analog Signals  </v>
          </cell>
        </row>
      </sheetData>
      <sheetData sheetId="650">
        <row r="1">
          <cell r="D1" t="str">
            <v xml:space="preserve">Analog Signals  </v>
          </cell>
        </row>
      </sheetData>
      <sheetData sheetId="651">
        <row r="1">
          <cell r="D1" t="str">
            <v xml:space="preserve">Analog Signals  </v>
          </cell>
        </row>
      </sheetData>
      <sheetData sheetId="652">
        <row r="1">
          <cell r="D1" t="str">
            <v xml:space="preserve">Analog Signals  </v>
          </cell>
        </row>
      </sheetData>
      <sheetData sheetId="653">
        <row r="1">
          <cell r="D1" t="str">
            <v xml:space="preserve">Analog Signals  </v>
          </cell>
        </row>
      </sheetData>
      <sheetData sheetId="654">
        <row r="1">
          <cell r="D1" t="str">
            <v xml:space="preserve">Analog Signals  </v>
          </cell>
        </row>
      </sheetData>
      <sheetData sheetId="655">
        <row r="1">
          <cell r="D1" t="str">
            <v xml:space="preserve">Analog Signals  </v>
          </cell>
        </row>
      </sheetData>
      <sheetData sheetId="656">
        <row r="1">
          <cell r="D1" t="str">
            <v xml:space="preserve">Analog Signals  </v>
          </cell>
        </row>
      </sheetData>
      <sheetData sheetId="657">
        <row r="1">
          <cell r="D1" t="str">
            <v xml:space="preserve">Analog Signals  </v>
          </cell>
        </row>
      </sheetData>
      <sheetData sheetId="658">
        <row r="1">
          <cell r="D1" t="str">
            <v xml:space="preserve">Analog Signals  </v>
          </cell>
        </row>
      </sheetData>
      <sheetData sheetId="659">
        <row r="1">
          <cell r="D1" t="str">
            <v xml:space="preserve">Analog Signals  </v>
          </cell>
        </row>
      </sheetData>
      <sheetData sheetId="660">
        <row r="1">
          <cell r="D1" t="str">
            <v xml:space="preserve">Analog Signals  </v>
          </cell>
        </row>
      </sheetData>
      <sheetData sheetId="661">
        <row r="1">
          <cell r="D1" t="str">
            <v xml:space="preserve">Analog Signals  </v>
          </cell>
        </row>
      </sheetData>
      <sheetData sheetId="662">
        <row r="1">
          <cell r="D1" t="str">
            <v xml:space="preserve">Analog Signals  </v>
          </cell>
        </row>
      </sheetData>
      <sheetData sheetId="663">
        <row r="1">
          <cell r="D1" t="str">
            <v xml:space="preserve">Analog Signals  </v>
          </cell>
        </row>
      </sheetData>
      <sheetData sheetId="664">
        <row r="1">
          <cell r="D1" t="str">
            <v xml:space="preserve">Analog Signals  </v>
          </cell>
        </row>
      </sheetData>
      <sheetData sheetId="665">
        <row r="1">
          <cell r="D1" t="str">
            <v xml:space="preserve">Analog Signals  </v>
          </cell>
        </row>
      </sheetData>
      <sheetData sheetId="666">
        <row r="1">
          <cell r="D1" t="str">
            <v xml:space="preserve">Analog Signals  </v>
          </cell>
        </row>
      </sheetData>
      <sheetData sheetId="667">
        <row r="1">
          <cell r="D1" t="str">
            <v xml:space="preserve">Analog Signals  </v>
          </cell>
        </row>
      </sheetData>
      <sheetData sheetId="668">
        <row r="1">
          <cell r="D1" t="str">
            <v xml:space="preserve">Analog Signals  </v>
          </cell>
        </row>
      </sheetData>
      <sheetData sheetId="669">
        <row r="1">
          <cell r="D1" t="str">
            <v xml:space="preserve">Analog Signals  </v>
          </cell>
        </row>
      </sheetData>
      <sheetData sheetId="670">
        <row r="1">
          <cell r="D1" t="str">
            <v xml:space="preserve">Analog Signals  </v>
          </cell>
        </row>
      </sheetData>
      <sheetData sheetId="671">
        <row r="1">
          <cell r="D1" t="str">
            <v xml:space="preserve">Analog Signals  </v>
          </cell>
        </row>
      </sheetData>
      <sheetData sheetId="672">
        <row r="1">
          <cell r="D1" t="str">
            <v xml:space="preserve">Analog Signals  </v>
          </cell>
        </row>
      </sheetData>
      <sheetData sheetId="673">
        <row r="1">
          <cell r="D1" t="str">
            <v xml:space="preserve">Analog Signals  </v>
          </cell>
        </row>
      </sheetData>
      <sheetData sheetId="674">
        <row r="1">
          <cell r="D1" t="str">
            <v xml:space="preserve">Analog Signals  </v>
          </cell>
        </row>
      </sheetData>
      <sheetData sheetId="675">
        <row r="1">
          <cell r="D1" t="str">
            <v xml:space="preserve">Analog Signals  </v>
          </cell>
        </row>
      </sheetData>
      <sheetData sheetId="676">
        <row r="1">
          <cell r="D1" t="str">
            <v xml:space="preserve">Analog Signals  </v>
          </cell>
        </row>
      </sheetData>
      <sheetData sheetId="677">
        <row r="1">
          <cell r="D1" t="str">
            <v xml:space="preserve">Analog Signals  </v>
          </cell>
        </row>
      </sheetData>
      <sheetData sheetId="678">
        <row r="1">
          <cell r="D1" t="str">
            <v xml:space="preserve">Analog Signals  </v>
          </cell>
        </row>
      </sheetData>
      <sheetData sheetId="679">
        <row r="1">
          <cell r="D1" t="str">
            <v xml:space="preserve">Analog Signals  </v>
          </cell>
        </row>
      </sheetData>
      <sheetData sheetId="680">
        <row r="1">
          <cell r="D1" t="str">
            <v xml:space="preserve">Analog Signals  </v>
          </cell>
        </row>
      </sheetData>
      <sheetData sheetId="681">
        <row r="1">
          <cell r="D1" t="str">
            <v xml:space="preserve">Analog Signals  </v>
          </cell>
        </row>
      </sheetData>
      <sheetData sheetId="682">
        <row r="1">
          <cell r="D1" t="str">
            <v xml:space="preserve">Analog Signals  </v>
          </cell>
        </row>
      </sheetData>
      <sheetData sheetId="683">
        <row r="1">
          <cell r="D1" t="str">
            <v xml:space="preserve">Analog Signals  </v>
          </cell>
        </row>
      </sheetData>
      <sheetData sheetId="684">
        <row r="1">
          <cell r="D1" t="str">
            <v xml:space="preserve">Analog Signals  </v>
          </cell>
        </row>
      </sheetData>
      <sheetData sheetId="685">
        <row r="1">
          <cell r="D1" t="str">
            <v xml:space="preserve">Analog Signals  </v>
          </cell>
        </row>
      </sheetData>
      <sheetData sheetId="686">
        <row r="1">
          <cell r="D1" t="str">
            <v xml:space="preserve">Analog Signals  </v>
          </cell>
        </row>
      </sheetData>
      <sheetData sheetId="687">
        <row r="1">
          <cell r="D1" t="str">
            <v xml:space="preserve">Analog Signals  </v>
          </cell>
        </row>
      </sheetData>
      <sheetData sheetId="688">
        <row r="1">
          <cell r="D1" t="str">
            <v xml:space="preserve">Analog Signals  </v>
          </cell>
        </row>
      </sheetData>
      <sheetData sheetId="689">
        <row r="1">
          <cell r="D1" t="str">
            <v xml:space="preserve">Analog Signals  </v>
          </cell>
        </row>
      </sheetData>
      <sheetData sheetId="690">
        <row r="1">
          <cell r="D1" t="str">
            <v xml:space="preserve">Analog Signals  </v>
          </cell>
        </row>
      </sheetData>
      <sheetData sheetId="691">
        <row r="1">
          <cell r="D1" t="str">
            <v xml:space="preserve">Analog Signals  </v>
          </cell>
        </row>
      </sheetData>
      <sheetData sheetId="692">
        <row r="1">
          <cell r="D1" t="str">
            <v xml:space="preserve">Analog Signals  </v>
          </cell>
        </row>
      </sheetData>
      <sheetData sheetId="693">
        <row r="1">
          <cell r="D1" t="str">
            <v xml:space="preserve">Analog Signals  </v>
          </cell>
        </row>
      </sheetData>
      <sheetData sheetId="694">
        <row r="1">
          <cell r="D1" t="str">
            <v xml:space="preserve">Analog Signals  </v>
          </cell>
        </row>
      </sheetData>
      <sheetData sheetId="695">
        <row r="1">
          <cell r="D1" t="str">
            <v xml:space="preserve">Analog Signals  </v>
          </cell>
        </row>
      </sheetData>
      <sheetData sheetId="696">
        <row r="1">
          <cell r="D1" t="str">
            <v xml:space="preserve">Analog Signals  </v>
          </cell>
        </row>
      </sheetData>
      <sheetData sheetId="697">
        <row r="1">
          <cell r="D1" t="str">
            <v xml:space="preserve">Analog Signals  </v>
          </cell>
        </row>
      </sheetData>
      <sheetData sheetId="698">
        <row r="1">
          <cell r="D1" t="str">
            <v xml:space="preserve">Analog Signals  </v>
          </cell>
        </row>
      </sheetData>
      <sheetData sheetId="699">
        <row r="1">
          <cell r="D1" t="str">
            <v xml:space="preserve">Analog Signals  </v>
          </cell>
        </row>
      </sheetData>
      <sheetData sheetId="700">
        <row r="1">
          <cell r="D1" t="str">
            <v xml:space="preserve">Analog Signals  </v>
          </cell>
        </row>
      </sheetData>
      <sheetData sheetId="701">
        <row r="1">
          <cell r="D1" t="str">
            <v xml:space="preserve">Analog Signals  </v>
          </cell>
        </row>
      </sheetData>
      <sheetData sheetId="702">
        <row r="1">
          <cell r="D1" t="str">
            <v xml:space="preserve">Analog Signals  </v>
          </cell>
        </row>
      </sheetData>
      <sheetData sheetId="703">
        <row r="1">
          <cell r="D1" t="str">
            <v xml:space="preserve">Analog Signals  </v>
          </cell>
        </row>
      </sheetData>
      <sheetData sheetId="704">
        <row r="1">
          <cell r="D1" t="str">
            <v xml:space="preserve">Analog Signals  </v>
          </cell>
        </row>
      </sheetData>
      <sheetData sheetId="705">
        <row r="1">
          <cell r="D1" t="str">
            <v xml:space="preserve">Analog Signals  </v>
          </cell>
        </row>
      </sheetData>
      <sheetData sheetId="706">
        <row r="1">
          <cell r="D1" t="str">
            <v xml:space="preserve">Analog Signals  </v>
          </cell>
        </row>
      </sheetData>
      <sheetData sheetId="707">
        <row r="1">
          <cell r="D1" t="str">
            <v xml:space="preserve">Analog Signals  </v>
          </cell>
        </row>
      </sheetData>
      <sheetData sheetId="708">
        <row r="1">
          <cell r="D1" t="str">
            <v xml:space="preserve">Analog Signals  </v>
          </cell>
        </row>
      </sheetData>
      <sheetData sheetId="709">
        <row r="1">
          <cell r="D1" t="str">
            <v xml:space="preserve">Analog Signals  </v>
          </cell>
        </row>
      </sheetData>
      <sheetData sheetId="710">
        <row r="1">
          <cell r="D1" t="str">
            <v xml:space="preserve">Analog Signals  </v>
          </cell>
        </row>
      </sheetData>
      <sheetData sheetId="711">
        <row r="1">
          <cell r="D1" t="str">
            <v xml:space="preserve">Analog Signals  </v>
          </cell>
        </row>
      </sheetData>
      <sheetData sheetId="712">
        <row r="1">
          <cell r="D1" t="str">
            <v xml:space="preserve">Analog Signals  </v>
          </cell>
        </row>
      </sheetData>
      <sheetData sheetId="713">
        <row r="1">
          <cell r="D1" t="str">
            <v xml:space="preserve">Analog Signals  </v>
          </cell>
        </row>
      </sheetData>
      <sheetData sheetId="714">
        <row r="1">
          <cell r="D1" t="str">
            <v xml:space="preserve">Analog Signals  </v>
          </cell>
        </row>
      </sheetData>
      <sheetData sheetId="715">
        <row r="1">
          <cell r="D1" t="str">
            <v xml:space="preserve">Analog Signals  </v>
          </cell>
        </row>
      </sheetData>
      <sheetData sheetId="716">
        <row r="1">
          <cell r="D1" t="str">
            <v xml:space="preserve">Analog Signals  </v>
          </cell>
        </row>
      </sheetData>
      <sheetData sheetId="717">
        <row r="1">
          <cell r="D1" t="str">
            <v xml:space="preserve">Analog Signals  </v>
          </cell>
        </row>
      </sheetData>
      <sheetData sheetId="718">
        <row r="1">
          <cell r="D1" t="str">
            <v xml:space="preserve">Analog Signals  </v>
          </cell>
        </row>
      </sheetData>
      <sheetData sheetId="719">
        <row r="1">
          <cell r="D1" t="str">
            <v xml:space="preserve">Analog Signals  </v>
          </cell>
        </row>
      </sheetData>
      <sheetData sheetId="720">
        <row r="1">
          <cell r="D1" t="str">
            <v xml:space="preserve">Analog Signals  </v>
          </cell>
        </row>
      </sheetData>
      <sheetData sheetId="721">
        <row r="1">
          <cell r="D1" t="str">
            <v xml:space="preserve">Analog Signals  </v>
          </cell>
        </row>
      </sheetData>
      <sheetData sheetId="722">
        <row r="1">
          <cell r="D1" t="str">
            <v xml:space="preserve">Analog Signals  </v>
          </cell>
        </row>
      </sheetData>
      <sheetData sheetId="723">
        <row r="1">
          <cell r="D1" t="str">
            <v xml:space="preserve">Analog Signals  </v>
          </cell>
        </row>
      </sheetData>
      <sheetData sheetId="724">
        <row r="1">
          <cell r="D1" t="str">
            <v xml:space="preserve">Analog Signals  </v>
          </cell>
        </row>
      </sheetData>
      <sheetData sheetId="725">
        <row r="1">
          <cell r="D1" t="str">
            <v xml:space="preserve">Analog Signals  </v>
          </cell>
        </row>
      </sheetData>
      <sheetData sheetId="726">
        <row r="1">
          <cell r="D1" t="str">
            <v xml:space="preserve">Analog Signals  </v>
          </cell>
        </row>
      </sheetData>
      <sheetData sheetId="727">
        <row r="1">
          <cell r="D1" t="str">
            <v xml:space="preserve">Analog Signals  </v>
          </cell>
        </row>
      </sheetData>
      <sheetData sheetId="728">
        <row r="1">
          <cell r="D1" t="str">
            <v xml:space="preserve">Analog Signals  </v>
          </cell>
        </row>
      </sheetData>
      <sheetData sheetId="729">
        <row r="1">
          <cell r="D1" t="str">
            <v xml:space="preserve">Analog Signals  </v>
          </cell>
        </row>
      </sheetData>
      <sheetData sheetId="730">
        <row r="1">
          <cell r="D1" t="str">
            <v xml:space="preserve">Analog Signals  </v>
          </cell>
        </row>
      </sheetData>
      <sheetData sheetId="731">
        <row r="1">
          <cell r="D1" t="str">
            <v xml:space="preserve">Analog Signals  </v>
          </cell>
        </row>
      </sheetData>
      <sheetData sheetId="732">
        <row r="1">
          <cell r="D1" t="str">
            <v xml:space="preserve">Analog Signals  </v>
          </cell>
        </row>
      </sheetData>
      <sheetData sheetId="733">
        <row r="1">
          <cell r="D1" t="str">
            <v xml:space="preserve">Analog Signals  </v>
          </cell>
        </row>
      </sheetData>
      <sheetData sheetId="734">
        <row r="1">
          <cell r="D1" t="str">
            <v xml:space="preserve">Analog Signals  </v>
          </cell>
        </row>
      </sheetData>
      <sheetData sheetId="735">
        <row r="1">
          <cell r="D1" t="str">
            <v xml:space="preserve">Analog Signals  </v>
          </cell>
        </row>
      </sheetData>
      <sheetData sheetId="736">
        <row r="1">
          <cell r="D1" t="str">
            <v xml:space="preserve">Analog Signals  </v>
          </cell>
        </row>
      </sheetData>
      <sheetData sheetId="737">
        <row r="1">
          <cell r="D1" t="str">
            <v xml:space="preserve">Analog Signals  </v>
          </cell>
        </row>
      </sheetData>
      <sheetData sheetId="738">
        <row r="1">
          <cell r="D1" t="str">
            <v xml:space="preserve">Analog Signals  </v>
          </cell>
        </row>
      </sheetData>
      <sheetData sheetId="739">
        <row r="1">
          <cell r="D1" t="str">
            <v xml:space="preserve">Analog Signals  </v>
          </cell>
        </row>
      </sheetData>
      <sheetData sheetId="740">
        <row r="1">
          <cell r="D1" t="str">
            <v xml:space="preserve">Analog Signals  </v>
          </cell>
        </row>
      </sheetData>
      <sheetData sheetId="741">
        <row r="1">
          <cell r="D1" t="str">
            <v xml:space="preserve">Analog Signals  </v>
          </cell>
        </row>
      </sheetData>
      <sheetData sheetId="742">
        <row r="1">
          <cell r="D1" t="str">
            <v xml:space="preserve">Analog Signals  </v>
          </cell>
        </row>
      </sheetData>
      <sheetData sheetId="743">
        <row r="1">
          <cell r="D1" t="str">
            <v xml:space="preserve">Analog Signals  </v>
          </cell>
        </row>
      </sheetData>
      <sheetData sheetId="744">
        <row r="1">
          <cell r="D1" t="str">
            <v xml:space="preserve">Analog Signals  </v>
          </cell>
        </row>
      </sheetData>
      <sheetData sheetId="745">
        <row r="1">
          <cell r="D1" t="str">
            <v xml:space="preserve">Analog Signals  </v>
          </cell>
        </row>
      </sheetData>
      <sheetData sheetId="746">
        <row r="1">
          <cell r="D1" t="str">
            <v xml:space="preserve">Analog Signals  </v>
          </cell>
        </row>
      </sheetData>
      <sheetData sheetId="747">
        <row r="1">
          <cell r="D1" t="str">
            <v xml:space="preserve">Analog Signals  </v>
          </cell>
        </row>
      </sheetData>
      <sheetData sheetId="748">
        <row r="1">
          <cell r="D1" t="str">
            <v xml:space="preserve">Analog Signals  </v>
          </cell>
        </row>
      </sheetData>
      <sheetData sheetId="749">
        <row r="1">
          <cell r="D1" t="str">
            <v xml:space="preserve">Analog Signals  </v>
          </cell>
        </row>
      </sheetData>
      <sheetData sheetId="750">
        <row r="1">
          <cell r="D1" t="str">
            <v xml:space="preserve">Analog Signals  </v>
          </cell>
        </row>
      </sheetData>
      <sheetData sheetId="751">
        <row r="1">
          <cell r="D1" t="str">
            <v xml:space="preserve">Analog Signals  </v>
          </cell>
        </row>
      </sheetData>
      <sheetData sheetId="752">
        <row r="1">
          <cell r="D1" t="str">
            <v xml:space="preserve">Analog Signals  </v>
          </cell>
        </row>
      </sheetData>
      <sheetData sheetId="753">
        <row r="1">
          <cell r="D1" t="str">
            <v xml:space="preserve">Analog Signals  </v>
          </cell>
        </row>
      </sheetData>
      <sheetData sheetId="754">
        <row r="1">
          <cell r="D1" t="str">
            <v xml:space="preserve">Analog Signals  </v>
          </cell>
        </row>
      </sheetData>
      <sheetData sheetId="755">
        <row r="1">
          <cell r="D1" t="str">
            <v xml:space="preserve">Analog Signals  </v>
          </cell>
        </row>
      </sheetData>
      <sheetData sheetId="756">
        <row r="1">
          <cell r="D1" t="str">
            <v xml:space="preserve">Analog Signals  </v>
          </cell>
        </row>
      </sheetData>
      <sheetData sheetId="757">
        <row r="1">
          <cell r="D1" t="str">
            <v xml:space="preserve">Analog Signals  </v>
          </cell>
        </row>
      </sheetData>
      <sheetData sheetId="758">
        <row r="1">
          <cell r="D1" t="str">
            <v xml:space="preserve">Analog Signals  </v>
          </cell>
        </row>
      </sheetData>
      <sheetData sheetId="759">
        <row r="1">
          <cell r="D1" t="str">
            <v xml:space="preserve">Analog Signals  </v>
          </cell>
        </row>
      </sheetData>
      <sheetData sheetId="760">
        <row r="1">
          <cell r="D1" t="str">
            <v xml:space="preserve">Analog Signals  </v>
          </cell>
        </row>
      </sheetData>
      <sheetData sheetId="761">
        <row r="1">
          <cell r="D1" t="str">
            <v xml:space="preserve">Analog Signals  </v>
          </cell>
        </row>
      </sheetData>
      <sheetData sheetId="762">
        <row r="1">
          <cell r="D1" t="str">
            <v xml:space="preserve">Analog Signals  </v>
          </cell>
        </row>
      </sheetData>
      <sheetData sheetId="763">
        <row r="1">
          <cell r="D1" t="str">
            <v xml:space="preserve">Analog Signals  </v>
          </cell>
        </row>
      </sheetData>
      <sheetData sheetId="764">
        <row r="1">
          <cell r="D1" t="str">
            <v xml:space="preserve">Analog Signals  </v>
          </cell>
        </row>
      </sheetData>
      <sheetData sheetId="765">
        <row r="1">
          <cell r="D1" t="str">
            <v xml:space="preserve">Analog Signals  </v>
          </cell>
        </row>
      </sheetData>
      <sheetData sheetId="766">
        <row r="1">
          <cell r="D1" t="str">
            <v xml:space="preserve">Analog Signals  </v>
          </cell>
        </row>
      </sheetData>
      <sheetData sheetId="767">
        <row r="1">
          <cell r="D1" t="str">
            <v xml:space="preserve">Analog Signals  </v>
          </cell>
        </row>
      </sheetData>
      <sheetData sheetId="768">
        <row r="1">
          <cell r="D1" t="str">
            <v xml:space="preserve">Analog Signals  </v>
          </cell>
        </row>
      </sheetData>
      <sheetData sheetId="769">
        <row r="1">
          <cell r="D1" t="str">
            <v xml:space="preserve">Analog Signals  </v>
          </cell>
        </row>
      </sheetData>
      <sheetData sheetId="770">
        <row r="1">
          <cell r="D1" t="str">
            <v xml:space="preserve">Analog Signals  </v>
          </cell>
        </row>
      </sheetData>
      <sheetData sheetId="771">
        <row r="1">
          <cell r="D1" t="str">
            <v xml:space="preserve">Analog Signals  </v>
          </cell>
        </row>
      </sheetData>
      <sheetData sheetId="772">
        <row r="1">
          <cell r="D1" t="str">
            <v xml:space="preserve">Analog Signals  </v>
          </cell>
        </row>
      </sheetData>
      <sheetData sheetId="773">
        <row r="1">
          <cell r="D1" t="str">
            <v xml:space="preserve">Analog Signals  </v>
          </cell>
        </row>
      </sheetData>
      <sheetData sheetId="774">
        <row r="1">
          <cell r="D1" t="str">
            <v xml:space="preserve">Analog Signals  </v>
          </cell>
        </row>
      </sheetData>
      <sheetData sheetId="775">
        <row r="1">
          <cell r="D1" t="str">
            <v xml:space="preserve">Analog Signals  </v>
          </cell>
        </row>
      </sheetData>
      <sheetData sheetId="776">
        <row r="1">
          <cell r="D1" t="str">
            <v xml:space="preserve">Analog Signals  </v>
          </cell>
        </row>
      </sheetData>
      <sheetData sheetId="777">
        <row r="1">
          <cell r="D1" t="str">
            <v xml:space="preserve">Analog Signals  </v>
          </cell>
        </row>
      </sheetData>
      <sheetData sheetId="778">
        <row r="1">
          <cell r="D1" t="str">
            <v xml:space="preserve">Analog Signals  </v>
          </cell>
        </row>
      </sheetData>
      <sheetData sheetId="779">
        <row r="1">
          <cell r="D1" t="str">
            <v xml:space="preserve">Analog Signals  </v>
          </cell>
        </row>
      </sheetData>
      <sheetData sheetId="780">
        <row r="1">
          <cell r="D1" t="str">
            <v xml:space="preserve">Analog Signals  </v>
          </cell>
        </row>
      </sheetData>
      <sheetData sheetId="781">
        <row r="1">
          <cell r="D1" t="str">
            <v xml:space="preserve">Analog Signals  </v>
          </cell>
        </row>
      </sheetData>
      <sheetData sheetId="782">
        <row r="1">
          <cell r="D1" t="str">
            <v xml:space="preserve">Analog Signals  </v>
          </cell>
        </row>
      </sheetData>
      <sheetData sheetId="783">
        <row r="1">
          <cell r="D1" t="str">
            <v xml:space="preserve">Analog Signals  </v>
          </cell>
        </row>
      </sheetData>
      <sheetData sheetId="784">
        <row r="1">
          <cell r="D1" t="str">
            <v xml:space="preserve">Analog Signals  </v>
          </cell>
        </row>
      </sheetData>
      <sheetData sheetId="785">
        <row r="1">
          <cell r="D1" t="str">
            <v xml:space="preserve">Analog Signals  </v>
          </cell>
        </row>
      </sheetData>
      <sheetData sheetId="786">
        <row r="1">
          <cell r="D1" t="str">
            <v xml:space="preserve">Analog Signals  </v>
          </cell>
        </row>
      </sheetData>
      <sheetData sheetId="787">
        <row r="1">
          <cell r="D1" t="str">
            <v xml:space="preserve">Analog Signals  </v>
          </cell>
        </row>
      </sheetData>
      <sheetData sheetId="788">
        <row r="1">
          <cell r="D1" t="str">
            <v xml:space="preserve">Analog Signals  </v>
          </cell>
        </row>
      </sheetData>
      <sheetData sheetId="789">
        <row r="1">
          <cell r="D1" t="str">
            <v xml:space="preserve">Analog Signals  </v>
          </cell>
        </row>
      </sheetData>
      <sheetData sheetId="790">
        <row r="1">
          <cell r="D1" t="str">
            <v xml:space="preserve">Analog Signals  </v>
          </cell>
        </row>
      </sheetData>
      <sheetData sheetId="791">
        <row r="1">
          <cell r="D1" t="str">
            <v xml:space="preserve">Analog Signals  </v>
          </cell>
        </row>
      </sheetData>
      <sheetData sheetId="792">
        <row r="1">
          <cell r="D1" t="str">
            <v xml:space="preserve">Analog Signals  </v>
          </cell>
        </row>
      </sheetData>
      <sheetData sheetId="793">
        <row r="1">
          <cell r="D1" t="str">
            <v xml:space="preserve">Analog Signals  </v>
          </cell>
        </row>
      </sheetData>
      <sheetData sheetId="794">
        <row r="1">
          <cell r="D1" t="str">
            <v xml:space="preserve">Analog Signals  </v>
          </cell>
        </row>
      </sheetData>
      <sheetData sheetId="795">
        <row r="1">
          <cell r="D1" t="str">
            <v xml:space="preserve">Analog Signals  </v>
          </cell>
        </row>
      </sheetData>
      <sheetData sheetId="796">
        <row r="1">
          <cell r="D1" t="str">
            <v xml:space="preserve">Analog Signals  </v>
          </cell>
        </row>
      </sheetData>
      <sheetData sheetId="797">
        <row r="1">
          <cell r="D1" t="str">
            <v xml:space="preserve">Analog Signals  </v>
          </cell>
        </row>
      </sheetData>
      <sheetData sheetId="798">
        <row r="1">
          <cell r="D1" t="str">
            <v xml:space="preserve">Analog Signals  </v>
          </cell>
        </row>
      </sheetData>
      <sheetData sheetId="799">
        <row r="1">
          <cell r="D1" t="str">
            <v xml:space="preserve">Analog Signals  </v>
          </cell>
        </row>
      </sheetData>
      <sheetData sheetId="800">
        <row r="1">
          <cell r="D1" t="str">
            <v xml:space="preserve">Analog Signals  </v>
          </cell>
        </row>
      </sheetData>
      <sheetData sheetId="801">
        <row r="1">
          <cell r="D1" t="str">
            <v xml:space="preserve">Analog Signals  </v>
          </cell>
        </row>
      </sheetData>
      <sheetData sheetId="802">
        <row r="1">
          <cell r="D1" t="str">
            <v xml:space="preserve">Analog Signals  </v>
          </cell>
        </row>
      </sheetData>
      <sheetData sheetId="803">
        <row r="1">
          <cell r="D1" t="str">
            <v xml:space="preserve">Analog Signals  </v>
          </cell>
        </row>
      </sheetData>
      <sheetData sheetId="804">
        <row r="1">
          <cell r="D1" t="str">
            <v xml:space="preserve">Analog Signals  </v>
          </cell>
        </row>
      </sheetData>
      <sheetData sheetId="805">
        <row r="1">
          <cell r="D1" t="str">
            <v xml:space="preserve">Analog Signals  </v>
          </cell>
        </row>
      </sheetData>
      <sheetData sheetId="806">
        <row r="1">
          <cell r="D1" t="str">
            <v xml:space="preserve">Analog Signals  </v>
          </cell>
        </row>
      </sheetData>
      <sheetData sheetId="807">
        <row r="1">
          <cell r="D1" t="str">
            <v xml:space="preserve">Analog Signals  </v>
          </cell>
        </row>
      </sheetData>
      <sheetData sheetId="808">
        <row r="1">
          <cell r="D1" t="str">
            <v xml:space="preserve">Analog Signals  </v>
          </cell>
        </row>
      </sheetData>
      <sheetData sheetId="809">
        <row r="1">
          <cell r="D1" t="str">
            <v xml:space="preserve">Analog Signals  </v>
          </cell>
        </row>
      </sheetData>
      <sheetData sheetId="810">
        <row r="1">
          <cell r="D1" t="str">
            <v xml:space="preserve">Analog Signals  </v>
          </cell>
        </row>
      </sheetData>
      <sheetData sheetId="811">
        <row r="1">
          <cell r="D1" t="str">
            <v xml:space="preserve">Analog Signals  </v>
          </cell>
        </row>
      </sheetData>
      <sheetData sheetId="812">
        <row r="1">
          <cell r="D1" t="str">
            <v xml:space="preserve">Analog Signals  </v>
          </cell>
        </row>
      </sheetData>
      <sheetData sheetId="813">
        <row r="1">
          <cell r="D1" t="str">
            <v xml:space="preserve">Analog Signals  </v>
          </cell>
        </row>
      </sheetData>
      <sheetData sheetId="814">
        <row r="1">
          <cell r="D1" t="str">
            <v xml:space="preserve">Analog Signals  </v>
          </cell>
        </row>
      </sheetData>
      <sheetData sheetId="815">
        <row r="1">
          <cell r="D1" t="str">
            <v xml:space="preserve">Analog Signals  </v>
          </cell>
        </row>
      </sheetData>
      <sheetData sheetId="816">
        <row r="1">
          <cell r="D1" t="str">
            <v xml:space="preserve">Analog Signals  </v>
          </cell>
        </row>
      </sheetData>
      <sheetData sheetId="817">
        <row r="1">
          <cell r="D1" t="str">
            <v xml:space="preserve">Analog Signals  </v>
          </cell>
        </row>
      </sheetData>
      <sheetData sheetId="818">
        <row r="1">
          <cell r="D1" t="str">
            <v xml:space="preserve">Analog Signals  </v>
          </cell>
        </row>
      </sheetData>
      <sheetData sheetId="819">
        <row r="1">
          <cell r="D1" t="str">
            <v xml:space="preserve">Analog Signals  </v>
          </cell>
        </row>
      </sheetData>
      <sheetData sheetId="820">
        <row r="1">
          <cell r="D1" t="str">
            <v xml:space="preserve">Analog Signals  </v>
          </cell>
        </row>
      </sheetData>
      <sheetData sheetId="821">
        <row r="1">
          <cell r="D1" t="str">
            <v xml:space="preserve">Analog Signals  </v>
          </cell>
        </row>
      </sheetData>
      <sheetData sheetId="822">
        <row r="1">
          <cell r="D1" t="str">
            <v xml:space="preserve">Analog Signals  </v>
          </cell>
        </row>
      </sheetData>
      <sheetData sheetId="823">
        <row r="1">
          <cell r="D1" t="str">
            <v xml:space="preserve">Analog Signals  </v>
          </cell>
        </row>
      </sheetData>
      <sheetData sheetId="824">
        <row r="1">
          <cell r="D1" t="str">
            <v xml:space="preserve">Analog Signals  </v>
          </cell>
        </row>
      </sheetData>
      <sheetData sheetId="825">
        <row r="1">
          <cell r="D1" t="str">
            <v xml:space="preserve">Analog Signals  </v>
          </cell>
        </row>
      </sheetData>
      <sheetData sheetId="826">
        <row r="1">
          <cell r="D1" t="str">
            <v xml:space="preserve">Analog Signals  </v>
          </cell>
        </row>
      </sheetData>
      <sheetData sheetId="827">
        <row r="1">
          <cell r="D1" t="str">
            <v xml:space="preserve">Analog Signals  </v>
          </cell>
        </row>
      </sheetData>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ow r="1">
          <cell r="D1" t="str">
            <v xml:space="preserve">Analog Signals  </v>
          </cell>
        </row>
      </sheetData>
      <sheetData sheetId="903">
        <row r="1">
          <cell r="D1" t="str">
            <v xml:space="preserve">Analog Signals  </v>
          </cell>
        </row>
      </sheetData>
      <sheetData sheetId="904">
        <row r="1">
          <cell r="D1" t="str">
            <v xml:space="preserve">Analog Signals  </v>
          </cell>
        </row>
      </sheetData>
      <sheetData sheetId="905">
        <row r="1">
          <cell r="D1" t="str">
            <v xml:space="preserve">Analog Signals  </v>
          </cell>
        </row>
      </sheetData>
      <sheetData sheetId="906">
        <row r="1">
          <cell r="D1" t="str">
            <v xml:space="preserve">Analog Signals  </v>
          </cell>
        </row>
      </sheetData>
      <sheetData sheetId="907">
        <row r="1">
          <cell r="D1" t="str">
            <v xml:space="preserve">Analog Signals  </v>
          </cell>
        </row>
      </sheetData>
      <sheetData sheetId="908">
        <row r="1">
          <cell r="D1" t="str">
            <v xml:space="preserve">Analog Signals  </v>
          </cell>
        </row>
      </sheetData>
      <sheetData sheetId="909">
        <row r="1">
          <cell r="D1" t="str">
            <v xml:space="preserve">Analog Signals  </v>
          </cell>
        </row>
      </sheetData>
      <sheetData sheetId="910">
        <row r="1">
          <cell r="D1" t="str">
            <v xml:space="preserve">Analog Signals  </v>
          </cell>
        </row>
      </sheetData>
      <sheetData sheetId="911">
        <row r="1">
          <cell r="D1" t="str">
            <v xml:space="preserve">Analog Signals  </v>
          </cell>
        </row>
      </sheetData>
      <sheetData sheetId="912">
        <row r="1">
          <cell r="D1" t="str">
            <v xml:space="preserve">Analog Signals  </v>
          </cell>
        </row>
      </sheetData>
      <sheetData sheetId="913">
        <row r="1">
          <cell r="D1" t="str">
            <v xml:space="preserve">Analog Signals  </v>
          </cell>
        </row>
      </sheetData>
      <sheetData sheetId="914">
        <row r="1">
          <cell r="D1" t="str">
            <v xml:space="preserve">Analog Signals  </v>
          </cell>
        </row>
      </sheetData>
      <sheetData sheetId="915">
        <row r="1">
          <cell r="D1" t="str">
            <v xml:space="preserve">Analog Signals  </v>
          </cell>
        </row>
      </sheetData>
      <sheetData sheetId="916">
        <row r="1">
          <cell r="D1" t="str">
            <v xml:space="preserve">Analog Signals  </v>
          </cell>
        </row>
      </sheetData>
      <sheetData sheetId="917">
        <row r="1">
          <cell r="D1" t="str">
            <v xml:space="preserve">Analog Signals  </v>
          </cell>
        </row>
      </sheetData>
      <sheetData sheetId="918" refreshError="1"/>
      <sheetData sheetId="919" refreshError="1"/>
      <sheetData sheetId="920">
        <row r="1">
          <cell r="D1" t="str">
            <v xml:space="preserve">Analog Signals  </v>
          </cell>
        </row>
      </sheetData>
      <sheetData sheetId="921">
        <row r="1">
          <cell r="D1" t="str">
            <v xml:space="preserve">Analog Signals  </v>
          </cell>
        </row>
      </sheetData>
      <sheetData sheetId="922">
        <row r="1">
          <cell r="D1" t="str">
            <v xml:space="preserve">Analog Signals  </v>
          </cell>
        </row>
      </sheetData>
      <sheetData sheetId="923">
        <row r="1">
          <cell r="D1" t="str">
            <v xml:space="preserve">Analog Signals  </v>
          </cell>
        </row>
      </sheetData>
      <sheetData sheetId="924">
        <row r="1">
          <cell r="D1" t="str">
            <v xml:space="preserve">Analog Signals  </v>
          </cell>
        </row>
      </sheetData>
      <sheetData sheetId="925">
        <row r="1">
          <cell r="D1" t="str">
            <v xml:space="preserve">Analog Signals  </v>
          </cell>
        </row>
      </sheetData>
      <sheetData sheetId="926">
        <row r="1">
          <cell r="D1" t="str">
            <v xml:space="preserve">Analog Signals  </v>
          </cell>
        </row>
      </sheetData>
      <sheetData sheetId="927">
        <row r="1">
          <cell r="D1" t="str">
            <v xml:space="preserve">Analog Signals  </v>
          </cell>
        </row>
      </sheetData>
      <sheetData sheetId="928">
        <row r="1">
          <cell r="D1" t="str">
            <v xml:space="preserve">Analog Signals  </v>
          </cell>
        </row>
      </sheetData>
      <sheetData sheetId="929">
        <row r="1">
          <cell r="D1" t="str">
            <v xml:space="preserve">Analog Signals  </v>
          </cell>
        </row>
      </sheetData>
      <sheetData sheetId="930">
        <row r="1">
          <cell r="D1" t="str">
            <v xml:space="preserve">Analog Signals  </v>
          </cell>
        </row>
      </sheetData>
      <sheetData sheetId="931">
        <row r="1">
          <cell r="D1" t="str">
            <v xml:space="preserve">Analog Signals  </v>
          </cell>
        </row>
      </sheetData>
      <sheetData sheetId="932">
        <row r="1">
          <cell r="D1" t="str">
            <v xml:space="preserve">Analog Signals  </v>
          </cell>
        </row>
      </sheetData>
      <sheetData sheetId="933">
        <row r="1">
          <cell r="D1" t="str">
            <v xml:space="preserve">Analog Signals  </v>
          </cell>
        </row>
      </sheetData>
      <sheetData sheetId="934">
        <row r="1">
          <cell r="D1" t="str">
            <v xml:space="preserve">Analog Signals  </v>
          </cell>
        </row>
      </sheetData>
      <sheetData sheetId="935">
        <row r="1">
          <cell r="D1" t="str">
            <v xml:space="preserve">Analog Signals  </v>
          </cell>
        </row>
      </sheetData>
      <sheetData sheetId="936">
        <row r="1">
          <cell r="D1" t="str">
            <v xml:space="preserve">Analog Signals  </v>
          </cell>
        </row>
      </sheetData>
      <sheetData sheetId="937">
        <row r="1">
          <cell r="D1" t="str">
            <v xml:space="preserve">Analog Signals  </v>
          </cell>
        </row>
      </sheetData>
      <sheetData sheetId="938">
        <row r="1">
          <cell r="D1" t="str">
            <v xml:space="preserve">Analog Signals  </v>
          </cell>
        </row>
      </sheetData>
      <sheetData sheetId="939">
        <row r="1">
          <cell r="D1" t="str">
            <v xml:space="preserve">Analog Signals  </v>
          </cell>
        </row>
      </sheetData>
      <sheetData sheetId="940">
        <row r="1">
          <cell r="D1" t="str">
            <v xml:space="preserve">Analog Signals  </v>
          </cell>
        </row>
      </sheetData>
      <sheetData sheetId="941">
        <row r="1">
          <cell r="D1" t="str">
            <v xml:space="preserve">Analog Signals  </v>
          </cell>
        </row>
      </sheetData>
      <sheetData sheetId="942">
        <row r="1">
          <cell r="D1" t="str">
            <v xml:space="preserve">Analog Signals  </v>
          </cell>
        </row>
      </sheetData>
      <sheetData sheetId="943">
        <row r="1">
          <cell r="D1" t="str">
            <v xml:space="preserve">Analog Signals  </v>
          </cell>
        </row>
      </sheetData>
      <sheetData sheetId="944">
        <row r="1">
          <cell r="D1" t="str">
            <v xml:space="preserve">Analog Signals  </v>
          </cell>
        </row>
      </sheetData>
      <sheetData sheetId="945">
        <row r="1">
          <cell r="D1" t="str">
            <v xml:space="preserve">Analog Signals  </v>
          </cell>
        </row>
      </sheetData>
      <sheetData sheetId="946">
        <row r="1">
          <cell r="D1" t="str">
            <v xml:space="preserve">Analog Signals  </v>
          </cell>
        </row>
      </sheetData>
      <sheetData sheetId="947">
        <row r="1">
          <cell r="D1" t="str">
            <v xml:space="preserve">Analog Signals  </v>
          </cell>
        </row>
      </sheetData>
      <sheetData sheetId="948">
        <row r="1">
          <cell r="D1" t="str">
            <v xml:space="preserve">Analog Signals  </v>
          </cell>
        </row>
      </sheetData>
      <sheetData sheetId="949">
        <row r="1">
          <cell r="D1" t="str">
            <v xml:space="preserve">Analog Signals  </v>
          </cell>
        </row>
      </sheetData>
      <sheetData sheetId="950">
        <row r="1">
          <cell r="D1" t="str">
            <v xml:space="preserve">Analog Signals  </v>
          </cell>
        </row>
      </sheetData>
      <sheetData sheetId="951">
        <row r="1">
          <cell r="D1" t="str">
            <v xml:space="preserve">Analog Signals  </v>
          </cell>
        </row>
      </sheetData>
      <sheetData sheetId="952">
        <row r="1">
          <cell r="D1" t="str">
            <v xml:space="preserve">Analog Signals  </v>
          </cell>
        </row>
      </sheetData>
      <sheetData sheetId="953">
        <row r="1">
          <cell r="D1" t="str">
            <v xml:space="preserve">Analog Signals  </v>
          </cell>
        </row>
      </sheetData>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ow r="1">
          <cell r="D1" t="str">
            <v xml:space="preserve">Analog Signals  </v>
          </cell>
        </row>
      </sheetData>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ow r="1">
          <cell r="D1" t="str">
            <v xml:space="preserve">Analog Signals  </v>
          </cell>
        </row>
      </sheetData>
      <sheetData sheetId="983">
        <row r="1">
          <cell r="D1" t="str">
            <v xml:space="preserve">Analog Signals  </v>
          </cell>
        </row>
      </sheetData>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sheetData sheetId="1152"/>
      <sheetData sheetId="1153"/>
      <sheetData sheetId="1154" refreshError="1"/>
      <sheetData sheetId="1155" refreshError="1"/>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ow r="1">
          <cell r="D1" t="str">
            <v xml:space="preserve">Analog Signals  </v>
          </cell>
        </row>
      </sheetData>
      <sheetData sheetId="1749">
        <row r="1">
          <cell r="D1" t="str">
            <v xml:space="preserve">Analog Signals  </v>
          </cell>
        </row>
      </sheetData>
      <sheetData sheetId="1750">
        <row r="1">
          <cell r="D1" t="str">
            <v xml:space="preserve">Analog Signals  </v>
          </cell>
        </row>
      </sheetData>
      <sheetData sheetId="1751"/>
      <sheetData sheetId="1752"/>
      <sheetData sheetId="1753"/>
      <sheetData sheetId="1754">
        <row r="1">
          <cell r="D1" t="str">
            <v xml:space="preserve">Analog Signals  </v>
          </cell>
        </row>
      </sheetData>
      <sheetData sheetId="1755">
        <row r="1">
          <cell r="D1" t="str">
            <v xml:space="preserve">Analog Signals  </v>
          </cell>
        </row>
      </sheetData>
      <sheetData sheetId="1756"/>
      <sheetData sheetId="1757"/>
      <sheetData sheetId="1758">
        <row r="1">
          <cell r="D1" t="str">
            <v xml:space="preserve">Analog Signals  </v>
          </cell>
        </row>
      </sheetData>
      <sheetData sheetId="1759"/>
      <sheetData sheetId="1760"/>
      <sheetData sheetId="1761">
        <row r="1">
          <cell r="D1" t="str">
            <v xml:space="preserve">Analog Signals  </v>
          </cell>
        </row>
      </sheetData>
      <sheetData sheetId="1762">
        <row r="1">
          <cell r="D1" t="str">
            <v xml:space="preserve">Analog Signals  </v>
          </cell>
        </row>
      </sheetData>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row r="1">
          <cell r="D1" t="str">
            <v xml:space="preserve">Analog Signals  </v>
          </cell>
        </row>
      </sheetData>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row r="1">
          <cell r="D1" t="str">
            <v xml:space="preserve">Analog Signals  </v>
          </cell>
        </row>
      </sheetData>
      <sheetData sheetId="1794"/>
      <sheetData sheetId="1795"/>
      <sheetData sheetId="1796"/>
      <sheetData sheetId="1797"/>
      <sheetData sheetId="1798">
        <row r="1">
          <cell r="D1" t="str">
            <v xml:space="preserve">Analog Signals  </v>
          </cell>
        </row>
      </sheetData>
      <sheetData sheetId="1799">
        <row r="1">
          <cell r="D1" t="str">
            <v xml:space="preserve">Analog Signals  </v>
          </cell>
        </row>
      </sheetData>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ow r="1">
          <cell r="D1" t="str">
            <v xml:space="preserve">Analog Signals  </v>
          </cell>
        </row>
      </sheetData>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Sheet4"/>
      <sheetName val="test"/>
      <sheetName val="Sheet1"/>
      <sheetName val="Sheet2"/>
      <sheetName val="dBase"/>
      <sheetName val="Sheet3"/>
      <sheetName val="Intro."/>
      <sheetName val="factors"/>
    </sheetNames>
    <sheetDataSet>
      <sheetData sheetId="0" refreshError="1"/>
      <sheetData sheetId="1" refreshError="1"/>
      <sheetData sheetId="2" refreshError="1"/>
      <sheetData sheetId="3" refreshError="1"/>
      <sheetData sheetId="4" refreshError="1">
        <row r="3">
          <cell r="A3" t="str">
            <v>Number</v>
          </cell>
        </row>
        <row r="14">
          <cell r="J14">
            <v>10000000</v>
          </cell>
        </row>
      </sheetData>
      <sheetData sheetId="5" refreshError="1"/>
      <sheetData sheetId="6" refreshError="1"/>
      <sheetData sheetId="7" refreshError="1"/>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Begin Here"/>
      <sheetName val="FCM"/>
      <sheetName val="Site Planning"/>
      <sheetName val="Factor Sheet"/>
      <sheetName val="Wiring"/>
      <sheetName val="DB"/>
      <sheetName val="Trays"/>
      <sheetName val="MISC"/>
      <sheetName val="Statutory"/>
      <sheetName val="Grnd Smry-WBS"/>
      <sheetName val="Financial"/>
    </sheetNames>
    <sheetDataSet>
      <sheetData sheetId="0"/>
      <sheetData sheetId="1"/>
      <sheetData sheetId="2"/>
      <sheetData sheetId="3">
        <row r="148">
          <cell r="D148">
            <v>465</v>
          </cell>
        </row>
        <row r="149">
          <cell r="D149">
            <v>62</v>
          </cell>
        </row>
        <row r="150">
          <cell r="D150">
            <v>55</v>
          </cell>
        </row>
      </sheetData>
      <sheetData sheetId="4"/>
      <sheetData sheetId="5"/>
      <sheetData sheetId="6"/>
      <sheetData sheetId="7"/>
      <sheetData sheetId="8"/>
      <sheetData sheetId="9"/>
      <sheetData sheetId="10"/>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Driveway Beams"/>
      <sheetName val="dBase"/>
      <sheetName val="Intro."/>
      <sheetName val="AOR"/>
      <sheetName val="factors"/>
      <sheetName val="환율"/>
      <sheetName val="labour coeff"/>
      <sheetName val="RA"/>
      <sheetName val="Sheet3"/>
      <sheetName val="Factor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Sheet1"/>
      <sheetName val="p&amp;m"/>
      <sheetName val="Sheet4"/>
      <sheetName val="rate anal"/>
      <sheetName val="Top Sheet"/>
      <sheetName val="Batch"/>
      <sheetName val="Sheet2"/>
      <sheetName val="Sheet3"/>
      <sheetName val="PRECAST lightconc-II"/>
      <sheetName val="Boq"/>
      <sheetName val="sheeet7"/>
      <sheetName val="TBAL9697 -group wise  sdpl"/>
      <sheetName val="Tender Summary"/>
      <sheetName val="AOR"/>
      <sheetName val="SITE OVERHEADS"/>
      <sheetName val="calcul"/>
      <sheetName val="Intro."/>
      <sheetName val="dBase"/>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DATA"/>
      <sheetName val="Rate"/>
      <sheetName val="SOR"/>
      <sheetName val="EW"/>
      <sheetName val="STR1"/>
      <sheetName val="STR2"/>
      <sheetName val="STR3"/>
      <sheetName val="LIN1"/>
      <sheetName val="LIN2"/>
      <sheetName val="typical subminor"/>
      <sheetName val="Road"/>
      <sheetName val="S&amp;I"/>
      <sheetName val="machi"/>
      <sheetName val="TRANS1"/>
      <sheetName val="trans"/>
      <sheetName val="mes-fb"/>
      <sheetName val="mes-pl"/>
      <sheetName val="XL4Test5"/>
      <sheetName val="Evaluate"/>
      <sheetName val="upa"/>
      <sheetName val="COLUMN"/>
      <sheetName val="office"/>
      <sheetName val="Lab"/>
      <sheetName val="Material&amp;equipment"/>
      <sheetName val="SPT vs PHI"/>
      <sheetName val="(2)BOQ - Civil &amp; Structural"/>
      <sheetName val="RA"/>
      <sheetName val="Material"/>
      <sheetName val="Estimation"/>
      <sheetName val="SCHEDULE"/>
      <sheetName val="Database"/>
      <sheetName val="schedule nos"/>
      <sheetName val="CCTV_EST1"/>
      <sheetName val="ACS(1)"/>
      <sheetName val="FAS-C(4)"/>
      <sheetName val="CCTV(old)"/>
      <sheetName val="PRECAST lightconc-II"/>
      <sheetName val="PRECAST-conc-II"/>
      <sheetName val="Miscellaneous-civil"/>
      <sheetName val="basic"/>
      <sheetName val="GN-ST-10"/>
      <sheetName val="CF-det"/>
      <sheetName val="Cleaning &amp; Grubbing"/>
      <sheetName val="PRECAST lightconc_II"/>
      <sheetName val="GN_ST_10"/>
      <sheetName val="Friends"/>
      <sheetName val="College Details"/>
      <sheetName val="Personal "/>
      <sheetName val="IHC"/>
      <sheetName val="bhilai"/>
      <sheetName val="jidal dam"/>
      <sheetName val="delo"/>
      <sheetName val="fran temp"/>
      <sheetName val="gagan"/>
      <sheetName val="hsbc"/>
      <sheetName val="jeedi"/>
      <sheetName val="kona swit"/>
      <sheetName val="template (8)"/>
      <sheetName val="template (9)"/>
      <sheetName val="KSt - Analysis "/>
      <sheetName val="Sheet2"/>
      <sheetName val="OVER HEADS"/>
      <sheetName val="Cover Sheet"/>
      <sheetName val="BOQ REV A"/>
      <sheetName val="BOQ"/>
      <sheetName val="PTB (IO)"/>
      <sheetName val="BMS "/>
      <sheetName val="TBAL9697 -group wise  sdpl"/>
      <sheetName val="PIPING"/>
      <sheetName val="Sheet1"/>
      <sheetName val="Summary"/>
      <sheetName val="Quantity Schedule"/>
      <sheetName val="Revenue  Schedule "/>
      <sheetName val="Balance works - Direct Cost"/>
      <sheetName val="Balance works - Indirect Cost"/>
      <sheetName val="Cashflows"/>
      <sheetName val="Fund Plan"/>
      <sheetName val="Bill of Resources"/>
      <sheetName val="DC"/>
      <sheetName val="concrete"/>
      <sheetName val="beam-reinft-IIInd floor"/>
      <sheetName val="300x500"/>
      <sheetName val="PRECAST_lightconc-II"/>
      <sheetName val="PRECAST_lightconc_II"/>
      <sheetName val="College_Details"/>
      <sheetName val="Personal_"/>
      <sheetName val="Cleaning_&amp;_Grubbing"/>
      <sheetName val="jidal_dam"/>
      <sheetName val="fran_temp"/>
      <sheetName val="kona_swit"/>
      <sheetName val="template_(8)"/>
      <sheetName val="template_(9)"/>
      <sheetName val="OVER_HEADS"/>
      <sheetName val="Cover_Sheet"/>
      <sheetName val="BOQ_REV_A"/>
      <sheetName val="PTB_(IO)"/>
      <sheetName val="BMS_"/>
      <sheetName val="SPT_vs_PHI"/>
      <sheetName val="TBAL9697_-group_wise__sdpl"/>
      <sheetName val="八幡"/>
      <sheetName val="#REF!"/>
      <sheetName val="Expenditure plan"/>
      <sheetName val="ORDER BOOKING"/>
      <sheetName val="zone-8"/>
      <sheetName val="MHNO_LEV"/>
      <sheetName val="M-Book for Conc"/>
      <sheetName val="M-Book for FW"/>
      <sheetName val="A"/>
      <sheetName val="Site Dev BOQ"/>
      <sheetName val="labour coeff"/>
      <sheetName val="Sheet3"/>
      <sheetName val="SITE OVERHEADS"/>
      <sheetName val="VCH-SLC"/>
      <sheetName val="Supplier"/>
      <sheetName val="Design"/>
      <sheetName val="Boq Block A"/>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SILICATE"/>
      <sheetName val="Costing Upto Mar'11 (2)"/>
      <sheetName val="Tender Summary"/>
      <sheetName val="p&amp;m"/>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Meas.-Hotel Part"/>
      <sheetName val="List"/>
      <sheetName val="BOQ_Direct_selling cost"/>
      <sheetName val="scurve calc (2)"/>
      <sheetName val="dBase"/>
      <sheetName val="factors"/>
      <sheetName val="Headings"/>
      <sheetName val="Direct cost shed A-2 "/>
      <sheetName val="22.12.2011"/>
      <sheetName val="Assumptions"/>
      <sheetName val="Contract Night Staff"/>
      <sheetName val="Contract Day Staff"/>
      <sheetName val="Day Shift"/>
      <sheetName val="Night Shift"/>
      <sheetName val=" 09.07.10 M顅ᎆ뤀ᨇ԰_x0000_缀_x0000_"/>
      <sheetName val="Fee Rate Summary"/>
      <sheetName val="Civil Boq"/>
      <sheetName val="final abstract"/>
      <sheetName val="Detail"/>
      <sheetName val="Lead"/>
      <sheetName val="BOQ (2)"/>
      <sheetName val="INPUT SHEET"/>
      <sheetName val=" 09.07.10 M顅ᎆ뤀ᨇ԰"/>
      <sheetName val="HVAC casu"/>
      <sheetName val="HVACmater."/>
      <sheetName val="HVACtreat"/>
      <sheetName val="HVAC serv"/>
      <sheetName val="hvac opd"/>
      <sheetName val="total abst.HVAC"/>
      <sheetName val="sec.adv.-19th HVAC"/>
      <sheetName val="sec.adv.-19TH ELEC.  (2)"/>
      <sheetName val="sec.adv.-19TH ELEC. "/>
      <sheetName val="Extra item"/>
      <sheetName val="External Item-Total Abstract "/>
      <sheetName val="CASUALTY m"/>
      <sheetName val="maternity M"/>
      <sheetName val="TREATMENT m "/>
      <sheetName val="block-3 m"/>
      <sheetName val="BLOCK-2m"/>
      <sheetName val="Total  ABSTRAC 20 TH"/>
      <sheetName val="Casualty"/>
      <sheetName val="Maternity"/>
      <sheetName val="Treatment"/>
      <sheetName val="service"/>
      <sheetName val="Block3"/>
      <sheetName val="Block2"/>
      <sheetName val="opd"/>
      <sheetName val=" INTERIM 17 TH-certified"/>
      <sheetName val=" INTERIM 17 TH-spec"/>
      <sheetName val="sec.adv.-17Int  "/>
      <sheetName val="HVAC"/>
      <sheetName val="CASUALTY "/>
      <sheetName val="TREATMENT "/>
      <sheetName val="SERVICE-4"/>
      <sheetName val="block-3"/>
      <sheetName val="O.P.D. "/>
      <sheetName val="Total Abstract17th"/>
      <sheetName val="BLOCK-2"/>
      <sheetName val="August-2"/>
      <sheetName val="August-3"/>
      <sheetName val="Top Sheet"/>
      <sheetName val="Top"/>
      <sheetName val="Boq-1,2,3,4,5"/>
      <sheetName val="Ex-t1,t2,t3"/>
      <sheetName val="Ex- T1"/>
      <sheetName val="Boq- T2 "/>
      <sheetName val="Ex- T2"/>
      <sheetName val="Boq- T3"/>
      <sheetName val="Ex- T3"/>
      <sheetName val="Boq- T4"/>
      <sheetName val="Boq- T5"/>
      <sheetName val="M.B T-01)"/>
      <sheetName val="(M.B) T- 02"/>
      <sheetName val="(M.B) T-03"/>
      <sheetName val="(M.B)TOWER NO.-04"/>
      <sheetName val="(M.B) T-05"/>
      <sheetName val="Cement-Recon."/>
      <sheetName val="Cement-T2"/>
      <sheetName val="Cement-T3"/>
      <sheetName val="Cement-2,3"/>
      <sheetName val="RA Bill summary"/>
      <sheetName val=" ABSTRACT  "/>
      <sheetName val="S T BILL"/>
      <sheetName val="BFP"/>
      <sheetName val="Neutralisation pit"/>
      <sheetName val="MCW piping"/>
      <sheetName val="Road crossing (2)"/>
      <sheetName val="Elecric &amp; Control"/>
      <sheetName val="Water "/>
      <sheetName val="Road crossing"/>
      <sheetName val="CW pump house"/>
      <sheetName val="DM builidng"/>
      <sheetName val="offset switch gear building"/>
      <sheetName val="Main stack"/>
      <sheetName val="Raw water fire water"/>
      <sheetName val="Switchyard"/>
      <sheetName val="Switch yard control building"/>
      <sheetName val="Duct Bank"/>
      <sheetName val="Desagged water storage tank"/>
      <sheetName val="Switch yard cable trench"/>
      <sheetName val="GT-ST Transformer"/>
      <sheetName val="MSPS_Abstract"/>
      <sheetName val="MSPS_Detailed"/>
      <sheetName val="JAN 09 "/>
      <sheetName val="31-05-2007-DPR"/>
      <sheetName val="sum-all"/>
      <sheetName val="Block admin"/>
      <sheetName val="Block acad"/>
      <sheetName val="Block aud"/>
      <sheetName val=" Club house"/>
      <sheetName val="sum"/>
      <sheetName val="DPR"/>
      <sheetName val="pictorial view "/>
      <sheetName val="pictorial view (2)"/>
      <sheetName val="Revised shutt.cycle 10-07-2007"/>
      <sheetName val="Revised shut cycle progress"/>
      <sheetName val="Slab area floorwise"/>
      <sheetName val="FINISHING SCHEDULE"/>
      <sheetName val="IO List"/>
      <sheetName val="BMS BOQ"/>
      <sheetName val="FORM7"/>
      <sheetName val="OHT (3.2 LL)"/>
      <sheetName val="TOS (OHT 3.2 LL)"/>
      <sheetName val="OHT (5.45LL)"/>
      <sheetName val="TOS (OHT 5.45LL)"/>
      <sheetName val="ABSTRACT-3 SITES"/>
      <sheetName val="CIVIL DSR-3 Sites"/>
      <sheetName val="ELECTRICAL DSR 3 sites "/>
      <sheetName val="FIRE FIGHTING DSR 3 sites"/>
      <sheetName val="LANDSCAPING DSR-3 Items Sites"/>
      <sheetName val="CIVIL NDSR"/>
      <sheetName val="ELE NDS Com. 3 site"/>
      <sheetName val="BMS Grp 4"/>
      <sheetName val="n-dsr 3 sites"/>
      <sheetName val="VENTIL Non-DSR 3 sites "/>
      <sheetName val="LANDSC Non-DSR-3 Sites"/>
      <sheetName val="OHT"/>
      <sheetName val="TOS (OHT)"/>
      <sheetName val="UGT"/>
      <sheetName val="TOS(UGT)"/>
      <sheetName val="UG W T"/>
      <sheetName val="OHT (2)"/>
      <sheetName val="MBQ"/>
      <sheetName val="drg study"/>
      <sheetName val="block"/>
      <sheetName val="BP"/>
      <sheetName val="Technicla manpower"/>
      <sheetName val="Mixer"/>
      <sheetName val="PRE (3)"/>
      <sheetName val="PRE (2)"/>
      <sheetName val="PRE"/>
      <sheetName val="Prerna Engg."/>
      <sheetName val="Bahuleyan"/>
      <sheetName val="Uday rai"/>
      <sheetName val="Manjur islam"/>
      <sheetName val="T Khan"/>
      <sheetName val="Misc."/>
      <sheetName val="Sabir"/>
      <sheetName val="Mirror"/>
      <sheetName val="Ramachander"/>
      <sheetName val="Surendar"/>
      <sheetName val="Guddu"/>
      <sheetName val="Ramjeet"/>
      <sheetName val="Aalam"/>
      <sheetName val="Ashok"/>
      <sheetName val="Naushad"/>
      <sheetName val="Cable-data"/>
      <sheetName val="XLPE. ALLUMINIUM) (2)"/>
      <sheetName val="XLPE. ALLUMINIUM)"/>
      <sheetName val="XLPE COPPER"/>
      <sheetName val="PVC ALLUMINIUM"/>
      <sheetName val="PVC COPPER"/>
      <sheetName val="      "/>
      <sheetName val="VD FOR LIGHTING"/>
      <sheetName val="CABLE DATA"/>
      <sheetName val="Area Statement"/>
      <sheetName val="Analysis"/>
      <sheetName val="4 Plumbing"/>
      <sheetName val="Changed Analysis"/>
      <sheetName val="OH Calculation sheet"/>
      <sheetName val="Program"/>
      <sheetName val="Road BOQ)"/>
      <sheetName val="Machinary  Analysis- DSIDC"/>
      <sheetName val="hmp"/>
      <sheetName val="wmm"/>
      <sheetName val="OH"/>
      <sheetName val="Over Head Total"/>
      <sheetName val="Calculations"/>
      <sheetName val="Analysis( Civil )."/>
      <sheetName val="Civil Work-building"/>
      <sheetName val="Analysis."/>
      <sheetName val="Elect."/>
      <sheetName val="Boiler&amp;TG"/>
      <sheetName val="Tg_foundn"/>
      <sheetName val="Stru_steel"/>
      <sheetName val="Digester building"/>
      <sheetName val="Conc-Site"/>
      <sheetName val="Shut"/>
      <sheetName val="Boiler_TG"/>
      <sheetName val="T Crane"/>
      <sheetName val="TS"/>
      <sheetName val="SDF I"/>
      <sheetName val="Sheet5"/>
      <sheetName val="Syn"/>
      <sheetName val="Loading"/>
      <sheetName val="Abstract "/>
      <sheetName val="OH's"/>
      <sheetName val="BOQ P-N"/>
      <sheetName val="MAJ Qtys "/>
      <sheetName val="LOCAL RATES"/>
      <sheetName val="Site Plan"/>
      <sheetName val="DATA SHEET"/>
      <sheetName val="MECH-PROG"/>
      <sheetName val="MECH-ANLYS"/>
      <sheetName val="Crusher"/>
      <sheetName val="Elect"/>
      <sheetName val="DPR BOQ"/>
      <sheetName val="DPR Rates"/>
      <sheetName val="Highways BOQ"/>
      <sheetName val="Structures BOQ"/>
      <sheetName val="Cover Drain"/>
      <sheetName val="st.analysis"/>
      <sheetName val="Traffic signs"/>
      <sheetName val="Qty Cal"/>
      <sheetName val="bus_bay"/>
      <sheetName val="ITEMS TO BE CHECK"/>
      <sheetName val="PROJ VIEW"/>
      <sheetName val="PAGE COLLECTION"/>
      <sheetName val="RESOUR_MACH"/>
      <sheetName val="MECH-COST ANALYSIS"/>
      <sheetName val="MAJOR QTYS"/>
      <sheetName val="RESOUR_MANPOWER"/>
      <sheetName val="Eqpt_Manpoer Schedule"/>
      <sheetName val="NH-25(MP-UP) synopsys"/>
      <sheetName val="catch pit"/>
      <sheetName val="Shuttering&amp;Concrete"/>
      <sheetName val="Synopsis"/>
      <sheetName val="Abs Wagha"/>
      <sheetName val="Wagha BoQ"/>
      <sheetName val="Proj. View "/>
      <sheetName val="Loading "/>
      <sheetName val="SHUTTERING "/>
      <sheetName val="END"/>
      <sheetName val="Brief"/>
      <sheetName val="Shuttering Cost NS 40"/>
      <sheetName val="Batching plant"/>
      <sheetName val="CONCRETE MIXER"/>
      <sheetName val="Concrete Pump"/>
      <sheetName val="Compressor"/>
      <sheetName val="Dozer"/>
      <sheetName val="Excavator"/>
      <sheetName val="FE Loader"/>
      <sheetName val="Grader"/>
      <sheetName val="HMP Plant"/>
      <sheetName val="PTR"/>
      <sheetName val="Tipper"/>
      <sheetName val="Tractor with Ripper "/>
      <sheetName val="Tandem Roller"/>
      <sheetName val="Vibratory Roller "/>
      <sheetName val="Water tanker"/>
      <sheetName val="WMM Paver"/>
      <sheetName val="WMM Plant"/>
      <sheetName val="Grand Summary"/>
      <sheetName val="Abstract"/>
      <sheetName val="Common Plant"/>
      <sheetName val="pLUMBING"/>
      <sheetName val="List of Items"/>
      <sheetName val="Major Quantities"/>
      <sheetName val="s"/>
      <sheetName val="Road-Analysis"/>
      <sheetName val="Road-Boq"/>
      <sheetName val="Analy"/>
      <sheetName val="AppeE"/>
      <sheetName val="Boq-with fire"/>
      <sheetName val="Boq-wo fire"/>
      <sheetName val="Compare"/>
      <sheetName val="Shutter"/>
      <sheetName val="Appendix-E"/>
      <sheetName val="ANALYS"/>
      <sheetName val="Summary - Page 1"/>
      <sheetName val="Interest"/>
      <sheetName val="Facility"/>
      <sheetName val="Salary"/>
      <sheetName val="Certi."/>
      <sheetName val="Abstact"/>
      <sheetName val="lab ind"/>
      <sheetName val="st ind"/>
      <sheetName val="cem ind"/>
      <sheetName val="fuel ind"/>
      <sheetName val="Details of price Index"/>
      <sheetName val="02"/>
      <sheetName val="03"/>
      <sheetName val="04"/>
      <sheetName val="05"/>
      <sheetName val=" summary"/>
      <sheetName val="01"/>
      <sheetName val="06"/>
      <sheetName val="07"/>
      <sheetName val="08"/>
      <sheetName val="09"/>
      <sheetName val="Elect_"/>
      <sheetName val="C_P_ BOQ"/>
      <sheetName val="Synops"/>
      <sheetName val="Abstract ( Depre)"/>
      <sheetName val="C.P. BOQ"/>
      <sheetName val="Materials"/>
      <sheetName val="BitAll"/>
      <sheetName val="Crushing n screening"/>
      <sheetName val="05-02-2K1"/>
      <sheetName val="01-03-2K1"/>
      <sheetName val="16-03-2K1"/>
      <sheetName val="fnl"/>
      <sheetName val="fnl (2)"/>
      <sheetName val="Front"/>
      <sheetName val="Index"/>
      <sheetName val="Org chart"/>
      <sheetName val="Org Jun06"/>
      <sheetName val="S Curve"/>
      <sheetName val="RA Summary"/>
      <sheetName val="Cumul Abstract"/>
      <sheetName val="Exp. Ded. 02"/>
      <sheetName val="Material- Infra"/>
      <sheetName val="Material- project"/>
      <sheetName val="MRS "/>
      <sheetName val="Monitoring of Resource"/>
      <sheetName val="Plan Bud - Apr06"/>
      <sheetName val="Achiev bud - Apr06"/>
      <sheetName val="Comparision of budget Apr06"/>
      <sheetName val="Plan budg - May06"/>
      <sheetName val="Labour reconsil"/>
      <sheetName val="WPR"/>
      <sheetName val="Flash report"/>
      <sheetName val="Planning_tender"/>
      <sheetName val="Working"/>
      <sheetName val="INFRA- budget"/>
      <sheetName val="Rolled budget_Jun06"/>
      <sheetName val="tender-exercise"/>
      <sheetName val="PLANNING"/>
      <sheetName val="plan-achieved"/>
      <sheetName val="RES-PLANNING"/>
      <sheetName val="BO-material-details"/>
      <sheetName val="p&amp;l-support"/>
      <sheetName val="P&amp;L-zero"/>
      <sheetName val="EARTH WORK 2"/>
      <sheetName val="EARTH WORK 1"/>
      <sheetName val="VFMP-Monthly-AB"/>
      <sheetName val="ACHIEVED"/>
      <sheetName val="MPR"/>
      <sheetName val="Module1"/>
      <sheetName val="Joint"/>
      <sheetName val="Read me"/>
      <sheetName val="CI_Culvert"/>
      <sheetName val="Main_calcn1(culvert)"/>
      <sheetName val="GI_culvert"/>
      <sheetName val="CI_Sump"/>
      <sheetName val="Sump_cal"/>
      <sheetName val="Main_calcn1 (sump)"/>
      <sheetName val="Jt_table"/>
      <sheetName val="Jt_rate"/>
      <sheetName val="spare"/>
      <sheetName val="Main_Calcn2"/>
      <sheetName val="SPECIAL"/>
      <sheetName val="A S TEE"/>
      <sheetName val="A F TEE"/>
      <sheetName val="D F TAPER"/>
      <sheetName val="GI_Sump"/>
      <sheetName val="Labour"/>
      <sheetName val="Rates_CI"/>
      <sheetName val="Rate_GI"/>
      <sheetName val="Rate_Labour"/>
      <sheetName val="special_copy"/>
      <sheetName val="Synopsis C-10"/>
      <sheetName val="MAJ Qtys"/>
      <sheetName val="BoQ C- 10"/>
      <sheetName val="TSP-CRUSHER"/>
      <sheetName val="Synopsis "/>
      <sheetName val="OH- Summery"/>
      <sheetName val="OH Calculations"/>
      <sheetName val="Fin. Charges"/>
      <sheetName val="Backup CC"/>
      <sheetName val="Abst"/>
      <sheetName val="PBQ"/>
      <sheetName val="Materials Reqd"/>
      <sheetName val="Rate anly as per site sink data"/>
      <sheetName val="KL Bridge BoQ"/>
      <sheetName val="Mech Details"/>
      <sheetName val="Electrical BoQ"/>
      <sheetName val="Analysis (2)"/>
      <sheetName val="earth work RA"/>
      <sheetName val="BoQ Bld"/>
      <sheetName val="SHUTTERING (NS-40)"/>
      <sheetName val="Elect- Naidu designs"/>
      <sheetName val="Pile-1000mm dia"/>
      <sheetName val="Pile-1200mm dia "/>
      <sheetName val="ANALYSIS (PMC)"/>
      <sheetName val="earth work Road"/>
      <sheetName val="Hire -based on depr"/>
      <sheetName val="machinery charges road"/>
      <sheetName val="BP (2)"/>
      <sheetName val="earth work Railway"/>
      <sheetName val="DC - HMP Plant"/>
      <sheetName val="P&amp;M Dep"/>
      <sheetName val="Summary of Rates"/>
      <sheetName val="GEN"/>
      <sheetName val="Cal - 08-09"/>
      <sheetName val="Lead statement - 2008-09"/>
      <sheetName val="Bitumen-2008-09"/>
      <sheetName val="INPUT"/>
      <sheetName val="DIR USED ITEMS"/>
      <sheetName val="1"/>
      <sheetName val="2"/>
      <sheetName val="3"/>
      <sheetName val="4"/>
      <sheetName val="5"/>
      <sheetName val="6"/>
      <sheetName val="7"/>
      <sheetName val="8"/>
      <sheetName val="9"/>
      <sheetName val="10"/>
      <sheetName val="11"/>
      <sheetName val="12"/>
      <sheetName val="13"/>
      <sheetName val="14"/>
      <sheetName val="15"/>
      <sheetName val="16"/>
      <sheetName val="13 (2)"/>
      <sheetName val="12 (20%)"/>
      <sheetName val="13 (20%)"/>
      <sheetName val="14 (20%)"/>
      <sheetName val="15 (2)"/>
      <sheetName val="Market Rate"/>
      <sheetName val="Cement"/>
      <sheetName val="Steel"/>
      <sheetName val="Material Rate Variation"/>
      <sheetName val="sc bills"/>
      <sheetName val="Top Sheet 1 "/>
      <sheetName val="cf abstract"/>
      <sheetName val="cf sch31.07.07"/>
      <sheetName val="CASHFLOW"/>
      <sheetName val="QTY Plan_Prime cost"/>
      <sheetName val="Itemwise Qty plan &amp; Gross Bill"/>
      <sheetName val="Summary 1"/>
      <sheetName val="BOQ_New 1"/>
      <sheetName val="RA Balance items"/>
      <sheetName val="Staff Expenses 1"/>
      <sheetName val="Lease &amp; Rentals 1"/>
      <sheetName val="Office &amp; Admn 1"/>
      <sheetName val="Input 1"/>
      <sheetName val="Bitumen Calculations 1"/>
      <sheetName val="P&amp;M Charges"/>
      <sheetName val="Tech Data"/>
      <sheetName val="Overhead summary"/>
      <sheetName val="Qnty planned"/>
      <sheetName val="PROGRM -2"/>
      <sheetName val="SC WO rates"/>
      <sheetName val="Working Rates"/>
      <sheetName val="Detailed Expenditure Breakup"/>
      <sheetName val="Expenditure det"/>
      <sheetName val="#REF"/>
      <sheetName val="Syn.my to jam."/>
      <sheetName val="Machinery List"/>
      <sheetName val="STAFF-OH"/>
      <sheetName val="M.J.1 BOQ"/>
      <sheetName val="T-2 gen"/>
      <sheetName val="Road Map"/>
      <sheetName val="Details material"/>
      <sheetName val="MECH-PROG (2)"/>
      <sheetName val="Note Sheet"/>
      <sheetName val="notesheet"/>
      <sheetName val="Syn-pkg-1"/>
      <sheetName val="Syn-pkg-2"/>
      <sheetName val="Jhar. BOQ.I,II"/>
      <sheetName val="Machinery Costing"/>
      <sheetName val="Escalation"/>
      <sheetName val="PMC BP"/>
      <sheetName val="PMC Mach"/>
      <sheetName val="Drain calculations"/>
      <sheetName val="Con Pro.I"/>
      <sheetName val="mobilisation"/>
      <sheetName val="Con Pro.II"/>
      <sheetName val="Capex"/>
      <sheetName val="Escl"/>
      <sheetName val="Machinery"/>
      <sheetName val="Layout"/>
      <sheetName val="Qty"/>
      <sheetName val="Elec Items"/>
      <sheetName val="A17"/>
      <sheetName val="ANNX A 17"/>
      <sheetName val="A18"/>
      <sheetName val="ANNX A 18"/>
      <sheetName val="A19"/>
      <sheetName val="ANNX A 19"/>
      <sheetName val="A20"/>
      <sheetName val="ANNX A 20"/>
      <sheetName val="A21"/>
      <sheetName val="ANNX A 21"/>
      <sheetName val="A 22"/>
      <sheetName val="A 23"/>
      <sheetName val="Revised"/>
      <sheetName val="Revised (2)"/>
      <sheetName val="CASH FLOW"/>
      <sheetName val="S-Curve"/>
      <sheetName val="Rate analysis-civil"/>
      <sheetName val="Concrete ana"/>
      <sheetName val="masonry"/>
      <sheetName val="reinf"/>
      <sheetName val="shuttering"/>
      <sheetName val="SoA Abstr."/>
      <sheetName val="SoA Bre"/>
      <sheetName val="CoA- Abst."/>
      <sheetName val="CoA Bre"/>
      <sheetName val="Work Prog"/>
      <sheetName val="C.Flow - WORKING"/>
      <sheetName val="C.Flow - ABS"/>
      <sheetName val="Crude tank  "/>
      <sheetName val="WATER DRAIN TANKS"/>
      <sheetName val="HDT HSD"/>
      <sheetName val="REFRIGERATED LPG"/>
      <sheetName val="NAPHTHA ST"/>
      <sheetName val="MS PREMIUM"/>
      <sheetName val="DPK AND SKO"/>
      <sheetName val="HSD DIESEL EXPORT ST"/>
      <sheetName val="HSD DIESEL STORAGE TANK"/>
      <sheetName val="MS REGULAR"/>
      <sheetName val="SULPHUR STORAGE TANKS"/>
      <sheetName val="LPG"/>
      <sheetName val="PROPYLENE"/>
      <sheetName val="Abstruct"/>
      <sheetName val="Major material list"/>
      <sheetName val="Coke Drum Str - BOQ"/>
      <sheetName val="Analysis-Civil"/>
      <sheetName val="CD errection cost"/>
      <sheetName val="BP-PMC"/>
      <sheetName val="SoA"/>
      <sheetName val="SoA Breakup"/>
      <sheetName val="CoA"/>
      <sheetName val="Out Flow PMC"/>
      <sheetName val="33 kV-Eqpt.fdn."/>
      <sheetName val="220 kV-Eqpt.-fdn."/>
      <sheetName val="400 kV-Eqpt.fdn."/>
      <sheetName val="Tower &amp; LM Foundation"/>
      <sheetName val="Transformer FDN"/>
      <sheetName val="Transformer FDN.Drawing"/>
      <sheetName val="Transformer FDN 1"/>
      <sheetName val="Cost summary"/>
      <sheetName val="Cost summary (test)"/>
      <sheetName val="Cost summary (2)"/>
      <sheetName val="Activity summary"/>
      <sheetName val="Commission fees"/>
      <sheetName val="FUNCTION"/>
      <sheetName val="pr_cal"/>
      <sheetName val="Process"/>
      <sheetName val="CoA Breakup"/>
      <sheetName val="Basic Material Rate"/>
      <sheetName val="BP Cost"/>
      <sheetName val="Rate Analysis- Earth work"/>
      <sheetName val="Rate Analysis-Misc "/>
      <sheetName val="Finishing"/>
      <sheetName val="Plant Hire Pile"/>
      <sheetName val="Rate Analysis-Pile"/>
      <sheetName val="Rate Analysis- Concrete"/>
      <sheetName val="page 1 of 2"/>
      <sheetName val="page 2 of 2"/>
      <sheetName val="Explanation"/>
      <sheetName val="QMM-Graph"/>
      <sheetName val="More Exp."/>
      <sheetName val="Abs 4 L"/>
      <sheetName val="Abs 6 L"/>
      <sheetName val="Ref Ab"/>
      <sheetName val="OHs"/>
      <sheetName val="T-2 material"/>
      <sheetName val="T Plaza boq"/>
      <sheetName val="C.P"/>
      <sheetName val="T plaza"/>
      <sheetName val="civil cost (Sun)"/>
      <sheetName val="Clarification"/>
      <sheetName val="Rate analysis - EW"/>
      <sheetName val="masonary"/>
      <sheetName val="Conc analysis"/>
      <sheetName val="Rate Analysis-Misc"/>
      <sheetName val="Rate Anaysis-Finish"/>
      <sheetName val="Rate Analysis-Finish1"/>
      <sheetName val="Content-Technical"/>
      <sheetName val="Org-Chart"/>
      <sheetName val="Manpower Sche"/>
      <sheetName val="equipment Sche"/>
      <sheetName val="Tools"/>
      <sheetName val="Cover "/>
      <sheetName val="Separator Sheet"/>
      <sheetName val="Syn-pkg-3"/>
      <sheetName val="Syn-pkg-4"/>
      <sheetName val="Top Sheet (2)"/>
      <sheetName val="Loading (2)"/>
      <sheetName val="Jhar. BOQ.III,IV"/>
      <sheetName val="Con Pro.III"/>
      <sheetName val="Con Pro.IV"/>
      <sheetName val="Road Works"/>
      <sheetName val="0000000000000"/>
      <sheetName val="1000000000000"/>
      <sheetName val="RMR"/>
      <sheetName val="Est"/>
      <sheetName val="MEST"/>
      <sheetName val="DATA_ENTRY"/>
      <sheetName val="MRoad data"/>
      <sheetName val="MRATES"/>
      <sheetName val="MBTLead"/>
      <sheetName val="MRMR"/>
      <sheetName val="MRoadMap"/>
      <sheetName val="site rates"/>
      <sheetName val="Topsheet"/>
      <sheetName val="SK BOQ Pkg-1"/>
      <sheetName val="Analysis "/>
      <sheetName val="Str.Qu."/>
      <sheetName val="AP-1(Electrical BOQ)"/>
      <sheetName val="machinery available soil"/>
      <sheetName val="MAJ Qtys HORR"/>
      <sheetName val="Crusher "/>
      <sheetName val="Shuttering Cost"/>
      <sheetName val="con pro."/>
      <sheetName val="Syn of Sk -Pkg1"/>
      <sheetName val="AP-7(synopsis)"/>
      <sheetName val="Summary AP7"/>
      <sheetName val="BOQ AP 7"/>
      <sheetName val="MAJ Qtys Ap"/>
      <sheetName val="Qty's calc."/>
      <sheetName val="E-Core version"/>
      <sheetName val="Laptop Loan Req Form"/>
      <sheetName val="Laptop Release Form"/>
      <sheetName val="Book1"/>
      <sheetName val="BHANDUP"/>
      <sheetName val="PLAN_FEB97"/>
      <sheetName val="Bridges"/>
      <sheetName val="Bridges (Abst)"/>
      <sheetName val="Overpass"/>
      <sheetName val="Slab Culvert"/>
      <sheetName val="Underpass"/>
      <sheetName val="Fire Wall-NEW"/>
      <sheetName val="Recator"/>
      <sheetName val="Cab Tre dc yard"/>
      <sheetName val="Cab Tre-ac yard"/>
      <sheetName val="AC FILTER YARD"/>
      <sheetName val="Ac Yard Equipments"/>
      <sheetName val="DC YARD TOWERS"/>
      <sheetName val="DC Yard Equipments"/>
      <sheetName val="AC YARD TOWERS"/>
      <sheetName val="changes"/>
      <sheetName val="BOQ total"/>
      <sheetName val="BOQ - AC Switchyard"/>
      <sheetName val="BOQ DC YARD"/>
      <sheetName val="BOQ Buildings -final-BALLIA"/>
      <sheetName val="Control Bldg"/>
      <sheetName val="Adani Haryana_VH"/>
      <sheetName val="Valve Hall including AHU"/>
      <sheetName val="Comparative statement"/>
      <sheetName val="RA-markate"/>
      <sheetName val="Railway Deposit"/>
      <sheetName val="BOQ Thum"/>
      <sheetName val="PMC mach "/>
      <sheetName val="Crusher-PMC"/>
      <sheetName val="L.map"/>
      <sheetName val="Ele. workable Rates"/>
      <sheetName val="0000000"/>
      <sheetName val="تدفقات و مدفوعات"/>
      <sheetName val="WORK COV"/>
      <sheetName val="اجور .ف1"/>
      <sheetName val="سلعيه"/>
      <sheetName val="خدمى"/>
      <sheetName val="مقاولين"/>
      <sheetName val="تحو"/>
      <sheetName val="تخصيصيه"/>
      <sheetName val="اهلاك"/>
      <sheetName val="معد .خ"/>
      <sheetName val="معد .ث"/>
      <sheetName val="B2826"/>
      <sheetName val="Form 1"/>
      <sheetName val="Form 2"/>
      <sheetName val="Form 3"/>
      <sheetName val="Form 4"/>
      <sheetName val="Form 5"/>
      <sheetName val="Form 7"/>
      <sheetName val="Form 6"/>
      <sheetName val="Form 8"/>
      <sheetName val="Form 9"/>
      <sheetName val="Form 10"/>
      <sheetName val="Form 11"/>
      <sheetName val="S1BOQ"/>
      <sheetName val="S2groupcode"/>
      <sheetName val="S3workplanqty"/>
      <sheetName val="S3workplanamt"/>
      <sheetName val="Shadow BOQ"/>
      <sheetName val="S4timecycle"/>
      <sheetName val="S5escalation"/>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Season Dircost"/>
      <sheetName val="Chart1"/>
      <sheetName val="Chart-2"/>
      <sheetName val="Chart3"/>
      <sheetName val="Expenses"/>
      <sheetName val="turnover"/>
      <sheetName val="Chart4"/>
      <sheetName val="Chart5"/>
      <sheetName val="02.06.07 (2)"/>
      <sheetName val="B2753"/>
      <sheetName val="Page-1"/>
      <sheetName val="page-2"/>
      <sheetName val="Page-3"/>
      <sheetName val="Page-4"/>
      <sheetName val="Page-5"/>
      <sheetName val="Page-6"/>
      <sheetName val="30-7"/>
      <sheetName val="Proj Details"/>
      <sheetName val="."/>
      <sheetName val="Final Tender"/>
      <sheetName val="Sch A-Viaduct"/>
      <sheetName val="Sch A - Typ Station "/>
      <sheetName val="Q-Abstract"/>
      <sheetName val="FOB"/>
      <sheetName val=","/>
      <sheetName val=";"/>
      <sheetName val="Sch B"/>
      <sheetName val="Strip Plan"/>
      <sheetName val="Major Items"/>
      <sheetName val="Cost of equip,fabrication"/>
      <sheetName val="Late start"/>
      <sheetName val="early start"/>
      <sheetName val="Q-INP"/>
      <sheetName val="Q Baricade"/>
      <sheetName val="Q-Pil"/>
      <sheetName val="Q-PC"/>
      <sheetName val="Q-Pier"/>
      <sheetName val="Q-Seg"/>
      <sheetName val="Q-Para"/>
      <sheetName val="Q-CB"/>
      <sheetName val="Q-Be"/>
      <sheetName val="Q-HTS"/>
      <sheetName val="Q-CT"/>
      <sheetName val="Q-OS"/>
      <sheetName val="Q HR"/>
      <sheetName val="R-Mat"/>
      <sheetName val="R-Subcon"/>
      <sheetName val="R-Hire"/>
      <sheetName val="Equip Depl"/>
      <sheetName val="R-Con"/>
      <sheetName val="R-Stations"/>
      <sheetName val="R-Pil"/>
      <sheetName val="R-PC"/>
      <sheetName val="R-Pier"/>
      <sheetName val="R-Void Slab"/>
      <sheetName val="R-Seg"/>
      <sheetName val="R-Prest"/>
      <sheetName val="R-Laun"/>
      <sheetName val="R-OS"/>
      <sheetName val="R-SKB"/>
      <sheetName val="R-Bear"/>
      <sheetName val="R-CB"/>
      <sheetName val="R-Para"/>
      <sheetName val="R - portal"/>
      <sheetName val="R CLC"/>
      <sheetName val="R-CT"/>
      <sheetName val="P-Summary"/>
      <sheetName val="P-Ins &amp; Bonds"/>
      <sheetName val="P-Finance"/>
      <sheetName val="P-Salary"/>
      <sheetName val="P Staff fac"/>
      <sheetName val="P-Site fac"/>
      <sheetName val="P-Clients fac"/>
      <sheetName val="P-others"/>
      <sheetName val="P-Travel"/>
      <sheetName val="P-Admn"/>
      <sheetName val="P-Lab"/>
      <sheetName val="P Cash Flow"/>
      <sheetName val="??? .?"/>
      <sheetName val="Total Collection"/>
      <sheetName val="BORING "/>
      <sheetName val="LINER"/>
      <sheetName val="EXPANSION JOINT"/>
      <sheetName val="CIS MAIN BERTH-1"/>
      <sheetName val="BOQ 725-769"/>
      <sheetName val="EVM-INDEX"/>
      <sheetName val="Flow Chart"/>
      <sheetName val="EVM1-Proj1"/>
      <sheetName val="EVM2-Proj1"/>
      <sheetName val="EVM2-Proj2"/>
      <sheetName val="EVM2-Proj3"/>
      <sheetName val="EVM3"/>
      <sheetName val="EVM4"/>
      <sheetName val="Performance Graph"/>
      <sheetName val="Format"/>
      <sheetName val="cost Format"/>
      <sheetName val="CJPC   "/>
      <sheetName val="Piling MB"/>
      <sheetName val="Abs of Pile Rein"/>
      <sheetName val="Reinforcement "/>
      <sheetName val="Pre cast Beam M.B"/>
      <sheetName val="Abs of Beam"/>
      <sheetName val="Pre cast Beam BBS"/>
      <sheetName val="C.In Situ Muff M.B."/>
      <sheetName val="P.C.Muff M.B"/>
      <sheetName val="Abs.of Muff"/>
      <sheetName val="Pre &amp; cast  Muff  BBS"/>
      <sheetName val="Abs. Cross Beam "/>
      <sheetName val="BBS CROSS Beam"/>
      <sheetName val="Cross Beam M.B. "/>
      <sheetName val="Con.Pedstal M.B."/>
      <sheetName val="BBS C.B.P."/>
      <sheetName val="Total Abstract"/>
      <sheetName val="Reco_1"/>
      <sheetName val="Reco_2"/>
      <sheetName val="Walk-way M.B."/>
      <sheetName val="Con Rate"/>
      <sheetName val="concrete detail"/>
      <sheetName val="CJPC"/>
      <sheetName val="Table of Contents"/>
      <sheetName val="Table of Contents (2)"/>
      <sheetName val="Abstract-Cert"/>
      <sheetName val="Index Sheet"/>
      <sheetName val="Meas-1"/>
      <sheetName val="Meas-2"/>
      <sheetName val="Meas-3"/>
      <sheetName val="Meas-4"/>
      <sheetName val="Meas-5"/>
      <sheetName val="Meas-6"/>
      <sheetName val="1.04-1"/>
      <sheetName val="2.01(a)-1"/>
      <sheetName val="G-13 2.01-2"/>
      <sheetName val="G-13 2.01-3"/>
      <sheetName val="G-13 2.01-4"/>
      <sheetName val="R-2 2.01-5"/>
      <sheetName val="MRR-1 2.01-6"/>
      <sheetName val="G-13 2.01-7"/>
      <sheetName val="2.01-b-II-1"/>
      <sheetName val="2.01-b-II-2"/>
      <sheetName val="2.01-b-II-3"/>
      <sheetName val="2.07-1"/>
      <sheetName val="2.07-2"/>
      <sheetName val="2.07-3"/>
      <sheetName val="2.07-4"/>
      <sheetName val="2.07-5"/>
      <sheetName val="2.07-6"/>
      <sheetName val="3.01-1"/>
      <sheetName val="3.01-2"/>
      <sheetName val="3.01-3"/>
      <sheetName val="3.01-4"/>
      <sheetName val="3.01-5"/>
      <sheetName val="3.02-1"/>
      <sheetName val="3.02-2"/>
      <sheetName val="3.02-3"/>
      <sheetName val="3.02-4"/>
      <sheetName val="3.02-5"/>
      <sheetName val="3.02-6"/>
      <sheetName val="3.02-7"/>
      <sheetName val="3.02-8"/>
      <sheetName val="3.02-9"/>
      <sheetName val="3.02-10"/>
      <sheetName val="3.02-11"/>
      <sheetName val="3.02-13"/>
      <sheetName val="4.01-1"/>
      <sheetName val="4.02-1"/>
      <sheetName val="4.04-1"/>
      <sheetName val="4.04-2"/>
      <sheetName val="E03-1"/>
      <sheetName val="E03-2"/>
      <sheetName val="E12-1"/>
      <sheetName val="Rock Filling"/>
      <sheetName val="Cement Reconciliation"/>
      <sheetName val="Bitumen Reconciliation"/>
      <sheetName val="Bitumen"/>
      <sheetName val="Bitumen-Consumption"/>
      <sheetName val="Prime Coat"/>
      <sheetName val="Tack Coat"/>
      <sheetName val="BM"/>
      <sheetName val="DBM"/>
      <sheetName val="Gate Pass"/>
      <sheetName val="DMRC3"/>
      <sheetName val="drwng_study"/>
      <sheetName val="M-BOQ"/>
      <sheetName val="sliding "/>
      <sheetName val="casement"/>
      <sheetName val="RA "/>
      <sheetName val="I-MAINFACT"/>
      <sheetName val="II-RAduct"/>
      <sheetName val="III-RawMatGodwn"/>
      <sheetName val="IV-Utility"/>
      <sheetName val="V-UGtank"/>
      <sheetName val="VI-Road"/>
      <sheetName val="VII-ETP"/>
      <sheetName val="Flooring-MRS"/>
      <sheetName val="BO"/>
      <sheetName val="Lead (SSR06-07)"/>
      <sheetName val="Datas(SSR06-07)"/>
      <sheetName val="Gen Abstract"/>
      <sheetName val="Det of Lawn Develp (Det)"/>
      <sheetName val="Det of side drain (Det)"/>
      <sheetName val="Details of site Develp (Dets)"/>
      <sheetName val="Lawn Devlp (Abstr)"/>
      <sheetName val="Side drain (Abstr)"/>
      <sheetName val="Site Develp (Abstr)"/>
      <sheetName val="Electrical BOQ (Exter)"/>
      <sheetName val="Electrical BOQ (Inter)"/>
      <sheetName val="Roads (ABST)"/>
      <sheetName val="Roads(Dets)"/>
      <sheetName val="Compound wall (2nd final)"/>
      <sheetName val="Compound wall (Abstract)"/>
      <sheetName val="Det Est tank sump"/>
      <sheetName val="Tanks Abst Est"/>
      <sheetName val="Datas WS &amp; S"/>
      <sheetName val="Plumbing (External)"/>
      <sheetName val="Plumbing (Internal)"/>
      <sheetName val="leads Roads"/>
      <sheetName val="Date for roads"/>
      <sheetName val="Tennis courtDetailed Est"/>
      <sheetName val="Tennis court Abstract"/>
      <sheetName val="Detl Courts"/>
      <sheetName val="Abstract Courts"/>
      <sheetName val="Detail In Door Stad"/>
      <sheetName val="Abstarct In door"/>
      <sheetName val="ESTIMATE"/>
      <sheetName val="ESTIMATE (2)"/>
      <sheetName val="calculations tower A"/>
      <sheetName val="calculations tower B"/>
      <sheetName val="Structure Qty"/>
      <sheetName val="d-safe DELUXE"/>
      <sheetName val="E21"/>
      <sheetName val="E22"/>
      <sheetName val="E23"/>
      <sheetName val="E24"/>
      <sheetName val="E25"/>
      <sheetName val="E26"/>
      <sheetName val="E27"/>
      <sheetName val="E28"/>
      <sheetName val="E29"/>
      <sheetName val="E30"/>
      <sheetName val="E31"/>
      <sheetName val="E32"/>
      <sheetName val="E33"/>
      <sheetName val="E35"/>
      <sheetName val="Civil Works"/>
      <sheetName val="basic-data"/>
      <sheetName val="mem-property"/>
      <sheetName val="Civil_Works"/>
      <sheetName val="pilecap"/>
      <sheetName val="RATE ANALYSIS HYDRAULIC 17-03-2"/>
      <sheetName val="환율"/>
      <sheetName val="Staff Acco."/>
      <sheetName val="Name List"/>
      <sheetName val="Config"/>
      <sheetName val="Break Dw"/>
      <sheetName val="Summary_Bank"/>
      <sheetName val="refer"/>
      <sheetName val="cables - Warmshell"/>
      <sheetName val="Fin Sum"/>
      <sheetName val="key dates"/>
      <sheetName val="Actuals"/>
      <sheetName val="GR.slab-reinft"/>
      <sheetName val="VALIDATIONS"/>
      <sheetName val="Profile"/>
      <sheetName val="co_5"/>
      <sheetName val="Cash Flow Input Data_ISC"/>
      <sheetName val="Interface_SC"/>
      <sheetName val="Calc_ISC"/>
      <sheetName val="Calc_SC"/>
      <sheetName val="Interface_ISC"/>
      <sheetName val="GD"/>
      <sheetName val="zone-2"/>
      <sheetName val="key info"/>
      <sheetName val="Res Sheet"/>
      <sheetName val="Costing"/>
      <sheetName val="Civil_Works1"/>
      <sheetName val="beam-reinft-IIInd_floor"/>
      <sheetName val="Civil_Works2"/>
      <sheetName val="beam-reinft-IIInd_floor1"/>
      <sheetName val="Civil_Works3"/>
      <sheetName val="beam-reinft-IIInd_floor2"/>
      <sheetName val="2_civil-RA"/>
      <sheetName val="2.civil-RA"/>
      <sheetName val="Mat.-Rates"/>
      <sheetName val="COA-17"/>
      <sheetName val="C-18"/>
      <sheetName val="Assmpns"/>
      <sheetName val="Break_Dw"/>
      <sheetName val="Break_Dw1"/>
      <sheetName val="PRECAST_lightconc-II2"/>
      <sheetName val="labour rates"/>
      <sheetName val="Civil &amp; design"/>
      <sheetName val="FINOLEX"/>
      <sheetName val="Set"/>
      <sheetName val="Sheet 1"/>
      <sheetName val="Door"/>
      <sheetName val="Per Unit"/>
      <sheetName val="Window"/>
      <sheetName val="Footings"/>
      <sheetName val="Pay_Sep06"/>
      <sheetName val="Pacakges split"/>
      <sheetName val="coa_ramco_168"/>
      <sheetName val="Map"/>
      <sheetName val="계정"/>
      <sheetName val="VL"/>
      <sheetName val="TN"/>
      <sheetName val="ND"/>
      <sheetName val="220 11  BS "/>
      <sheetName val="Cashflow projection"/>
      <sheetName val="4 CIS"/>
      <sheetName val="Driveway Beams"/>
      <sheetName val="sc-mar2000"/>
      <sheetName val="Build-up"/>
      <sheetName val="C-12"/>
      <sheetName val="R2"/>
      <sheetName val="Co-Inf"/>
      <sheetName val="Fill this out first..."/>
      <sheetName val="System Summary"/>
      <sheetName val="Components"/>
      <sheetName val="RCC,Ret. Wall"/>
      <sheetName val="P&amp;L_summary_sub_Fund"/>
      <sheetName val="\\Basant\projects\PROJECTS\Proj"/>
      <sheetName val="RATE.XLS"/>
      <sheetName val="dummy2"/>
      <sheetName val="Civil_Works4"/>
      <sheetName val="beam-reinft-IIInd_floor3"/>
      <sheetName val="TBAL9697_-group_wise__sdpl2"/>
      <sheetName val="RATE_ANALYSIS_HYDRAULIC_17-03-2"/>
      <sheetName val="Staff_Acco_"/>
      <sheetName val="Name_List"/>
      <sheetName val="Break_Dw2"/>
      <sheetName val="cables_-_Warmshell"/>
      <sheetName val="key_dates"/>
      <sheetName val="Fin_Sum"/>
      <sheetName val="GR_slab-reinft"/>
      <sheetName val="Mat_-Rates"/>
      <sheetName val="Cash_Flow_Input_Data_ISC"/>
      <sheetName val="final_abstract"/>
      <sheetName val="Data_sheet"/>
      <sheetName val="Sheet_1"/>
      <sheetName val="Per_Unit"/>
      <sheetName val="Pacakges_split"/>
      <sheetName val="Res_Sheet"/>
      <sheetName val="Civil_BOQ"/>
      <sheetName val="2_civil-RA1"/>
      <sheetName val="labour_rates"/>
      <sheetName val="Civil_&amp;_design"/>
      <sheetName val="key_info"/>
      <sheetName val="Cash_Flow"/>
      <sheetName val="220_11__BS_"/>
      <sheetName val="Cashflow_projection"/>
      <sheetName val="Civil_Works5"/>
      <sheetName val="beam-reinft-IIInd_floor4"/>
      <sheetName val="TBAL9697_-group_wise__sdpl3"/>
      <sheetName val="RATE_ANALYSIS_HYDRAULIC_17-03-1"/>
      <sheetName val="Staff_Acco_1"/>
      <sheetName val="Name_List1"/>
      <sheetName val="Break_Dw3"/>
      <sheetName val="cables_-_Warmshell1"/>
      <sheetName val="key_dates1"/>
      <sheetName val="Fin_Sum1"/>
      <sheetName val="GR_slab-reinft1"/>
      <sheetName val="Mat_-Rates1"/>
      <sheetName val="Cash_Flow_Input_Data_ISC1"/>
      <sheetName val="final_abstract1"/>
      <sheetName val="Data_sheet1"/>
      <sheetName val="Sheet_11"/>
      <sheetName val="Per_Unit1"/>
      <sheetName val="Pacakges_split1"/>
      <sheetName val="Res_Sheet1"/>
      <sheetName val="Civil_BOQ1"/>
      <sheetName val="2_civil-RA2"/>
      <sheetName val="labour_rates1"/>
      <sheetName val="Civil_&amp;_design1"/>
      <sheetName val="key_info1"/>
      <sheetName val="Cash_Flow1"/>
      <sheetName val="220_11__BS_1"/>
      <sheetName val="Cashflow_projection1"/>
      <sheetName val="Civil_Works14"/>
      <sheetName val="beam-reinft-IIInd_floor13"/>
      <sheetName val="TBAL9697_-group_wise__sdpl12"/>
      <sheetName val="RATE_ANALYSIS_HYDRAULIC_17-0311"/>
      <sheetName val="Staff_Acco_10"/>
      <sheetName val="Name_List10"/>
      <sheetName val="Break_Dw12"/>
      <sheetName val="cables_-_Warmshell10"/>
      <sheetName val="key_dates10"/>
      <sheetName val="Fin_Sum10"/>
      <sheetName val="GR_slab-reinft10"/>
      <sheetName val="Mat_-Rates10"/>
      <sheetName val="Cash_Flow_Input_Data_ISC10"/>
      <sheetName val="Civil_Works12"/>
      <sheetName val="beam-reinft-IIInd_floor11"/>
      <sheetName val="TBAL9697_-group_wise__sdpl10"/>
      <sheetName val="RATE_ANALYSIS_HYDRAULIC_17-03-9"/>
      <sheetName val="cables_-_Warmshell8"/>
      <sheetName val="Break_Dw10"/>
      <sheetName val="Fin_Sum8"/>
      <sheetName val="key_dates8"/>
      <sheetName val="Staff_Acco_8"/>
      <sheetName val="GR_slab-reinft8"/>
      <sheetName val="Name_List8"/>
      <sheetName val="Mat_-Rates8"/>
      <sheetName val="Cash_Flow_Input_Data_ISC8"/>
      <sheetName val="final_abstract8"/>
      <sheetName val="Data_sheet8"/>
      <sheetName val="Sheet_18"/>
      <sheetName val="Per_Unit8"/>
      <sheetName val="Pacakges_split8"/>
      <sheetName val="Res_Sheet8"/>
      <sheetName val="Civil_BOQ8"/>
      <sheetName val="2_civil-RA9"/>
      <sheetName val="labour_rates8"/>
      <sheetName val="Civil_&amp;_design8"/>
      <sheetName val="key_info8"/>
      <sheetName val="Cash_Flow8"/>
      <sheetName val="220_11__BS_8"/>
      <sheetName val="Cashflow_projection8"/>
      <sheetName val="Civil_Works11"/>
      <sheetName val="beam-reinft-IIInd_floor10"/>
      <sheetName val="TBAL9697_-group_wise__sdpl9"/>
      <sheetName val="RATE_ANALYSIS_HYDRAULIC_17-03-8"/>
      <sheetName val="Staff_Acco_7"/>
      <sheetName val="Name_List7"/>
      <sheetName val="Break_Dw9"/>
      <sheetName val="cables_-_Warmshell7"/>
      <sheetName val="key_dates7"/>
      <sheetName val="Fin_Sum7"/>
      <sheetName val="GR_slab-reinft7"/>
      <sheetName val="Mat_-Rates7"/>
      <sheetName val="Cash_Flow_Input_Data_ISC7"/>
      <sheetName val="final_abstract7"/>
      <sheetName val="Data_sheet7"/>
      <sheetName val="Sheet_17"/>
      <sheetName val="Per_Unit7"/>
      <sheetName val="Pacakges_split7"/>
      <sheetName val="Res_Sheet7"/>
      <sheetName val="Civil_BOQ7"/>
      <sheetName val="2_civil-RA8"/>
      <sheetName val="labour_rates7"/>
      <sheetName val="Civil_&amp;_design7"/>
      <sheetName val="key_info7"/>
      <sheetName val="Cash_Flow7"/>
      <sheetName val="220_11__BS_7"/>
      <sheetName val="Cashflow_projection7"/>
      <sheetName val="Civil_Works6"/>
      <sheetName val="beam-reinft-IIInd_floor5"/>
      <sheetName val="TBAL9697_-group_wise__sdpl4"/>
      <sheetName val="RATE_ANALYSIS_HYDRAULIC_17-03-3"/>
      <sheetName val="Staff_Acco_2"/>
      <sheetName val="Name_List2"/>
      <sheetName val="Break_Dw4"/>
      <sheetName val="cables_-_Warmshell2"/>
      <sheetName val="key_dates2"/>
      <sheetName val="Fin_Sum2"/>
      <sheetName val="GR_slab-reinft2"/>
      <sheetName val="Mat_-Rates2"/>
      <sheetName val="Cash_Flow_Input_Data_ISC2"/>
      <sheetName val="final_abstract2"/>
      <sheetName val="Data_sheet2"/>
      <sheetName val="Sheet_12"/>
      <sheetName val="Per_Unit2"/>
      <sheetName val="Pacakges_split2"/>
      <sheetName val="Res_Sheet2"/>
      <sheetName val="Civil_BOQ2"/>
      <sheetName val="2_civil-RA3"/>
      <sheetName val="labour_rates2"/>
      <sheetName val="Civil_&amp;_design2"/>
      <sheetName val="key_info2"/>
      <sheetName val="Cash_Flow2"/>
      <sheetName val="220_11__BS_2"/>
      <sheetName val="Cashflow_projection2"/>
      <sheetName val="Civil_Works7"/>
      <sheetName val="beam-reinft-IIInd_floor6"/>
      <sheetName val="TBAL9697_-group_wise__sdpl5"/>
      <sheetName val="RATE_ANALYSIS_HYDRAULIC_17-03-4"/>
      <sheetName val="Staff_Acco_3"/>
      <sheetName val="Name_List3"/>
      <sheetName val="Break_Dw5"/>
      <sheetName val="cables_-_Warmshell3"/>
      <sheetName val="key_dates3"/>
      <sheetName val="Fin_Sum3"/>
      <sheetName val="GR_slab-reinft3"/>
      <sheetName val="Mat_-Rates3"/>
      <sheetName val="Cash_Flow_Input_Data_ISC3"/>
      <sheetName val="final_abstract3"/>
      <sheetName val="Data_sheet3"/>
      <sheetName val="Sheet_13"/>
      <sheetName val="Per_Unit3"/>
      <sheetName val="Pacakges_split3"/>
      <sheetName val="Res_Sheet3"/>
      <sheetName val="Civil_BOQ3"/>
      <sheetName val="2_civil-RA4"/>
      <sheetName val="labour_rates3"/>
      <sheetName val="Civil_&amp;_design3"/>
      <sheetName val="key_info3"/>
      <sheetName val="Cash_Flow3"/>
      <sheetName val="220_11__BS_3"/>
      <sheetName val="Cashflow_projection3"/>
      <sheetName val="Civil_Works8"/>
      <sheetName val="beam-reinft-IIInd_floor7"/>
      <sheetName val="TBAL9697_-group_wise__sdpl6"/>
      <sheetName val="RATE_ANALYSIS_HYDRAULIC_17-03-5"/>
      <sheetName val="Staff_Acco_4"/>
      <sheetName val="Name_List4"/>
      <sheetName val="Break_Dw6"/>
      <sheetName val="cables_-_Warmshell4"/>
      <sheetName val="key_dates4"/>
      <sheetName val="Fin_Sum4"/>
      <sheetName val="GR_slab-reinft4"/>
      <sheetName val="Mat_-Rates4"/>
      <sheetName val="Cash_Flow_Input_Data_ISC4"/>
      <sheetName val="final_abstract4"/>
      <sheetName val="Data_sheet4"/>
      <sheetName val="Sheet_14"/>
      <sheetName val="Per_Unit4"/>
      <sheetName val="Pacakges_split4"/>
      <sheetName val="Res_Sheet4"/>
      <sheetName val="Civil_BOQ4"/>
      <sheetName val="2_civil-RA5"/>
      <sheetName val="labour_rates4"/>
      <sheetName val="Civil_&amp;_design4"/>
      <sheetName val="key_info4"/>
      <sheetName val="Cash_Flow4"/>
      <sheetName val="220_11__BS_4"/>
      <sheetName val="Cashflow_projection4"/>
      <sheetName val="Civil_Works9"/>
      <sheetName val="beam-reinft-IIInd_floor8"/>
      <sheetName val="TBAL9697_-group_wise__sdpl7"/>
      <sheetName val="RATE_ANALYSIS_HYDRAULIC_17-03-6"/>
      <sheetName val="Staff_Acco_5"/>
      <sheetName val="Name_List5"/>
      <sheetName val="Break_Dw7"/>
      <sheetName val="cables_-_Warmshell5"/>
      <sheetName val="key_dates5"/>
      <sheetName val="Fin_Sum5"/>
      <sheetName val="GR_slab-reinft5"/>
      <sheetName val="Mat_-Rates5"/>
      <sheetName val="Cash_Flow_Input_Data_ISC5"/>
      <sheetName val="final_abstract5"/>
      <sheetName val="Data_sheet5"/>
      <sheetName val="Sheet_15"/>
      <sheetName val="Per_Unit5"/>
      <sheetName val="Pacakges_split5"/>
      <sheetName val="Res_Sheet5"/>
      <sheetName val="Civil_BOQ5"/>
      <sheetName val="2_civil-RA6"/>
      <sheetName val="labour_rates5"/>
      <sheetName val="Civil_&amp;_design5"/>
      <sheetName val="key_info5"/>
      <sheetName val="Cash_Flow5"/>
      <sheetName val="220_11__BS_5"/>
      <sheetName val="Cashflow_projection5"/>
      <sheetName val="Civil_Works10"/>
      <sheetName val="beam-reinft-IIInd_floor9"/>
      <sheetName val="TBAL9697_-group_wise__sdpl8"/>
      <sheetName val="RATE_ANALYSIS_HYDRAULIC_17-03-7"/>
      <sheetName val="Staff_Acco_6"/>
      <sheetName val="Name_List6"/>
      <sheetName val="Break_Dw8"/>
      <sheetName val="cables_-_Warmshell6"/>
      <sheetName val="key_dates6"/>
      <sheetName val="Fin_Sum6"/>
      <sheetName val="GR_slab-reinft6"/>
      <sheetName val="Mat_-Rates6"/>
      <sheetName val="Cash_Flow_Input_Data_ISC6"/>
      <sheetName val="final_abstract6"/>
      <sheetName val="Data_sheet6"/>
      <sheetName val="Sheet_16"/>
      <sheetName val="Per_Unit6"/>
      <sheetName val="Pacakges_split6"/>
      <sheetName val="Res_Sheet6"/>
      <sheetName val="Civil_BOQ6"/>
      <sheetName val="2_civil-RA7"/>
      <sheetName val="labour_rates6"/>
      <sheetName val="Civil_&amp;_design6"/>
      <sheetName val="key_info6"/>
      <sheetName val="Cash_Flow6"/>
      <sheetName val="220_11__BS_6"/>
      <sheetName val="Cashflow_projection6"/>
      <sheetName val="Civil_Works13"/>
      <sheetName val="beam-reinft-IIInd_floor12"/>
      <sheetName val="TBAL9697_-group_wise__sdpl11"/>
      <sheetName val="RATE_ANALYSIS_HYDRAULIC_17-0310"/>
      <sheetName val="Staff_Acco_9"/>
      <sheetName val="Name_List9"/>
      <sheetName val="Break_Dw11"/>
      <sheetName val="cables_-_Warmshell9"/>
      <sheetName val="key_dates9"/>
      <sheetName val="Fin_Sum9"/>
      <sheetName val="GR_slab-reinft9"/>
      <sheetName val="Mat_-Rates9"/>
      <sheetName val="Cash_Flow_Input_Data_ISC9"/>
      <sheetName val="final_abstract9"/>
      <sheetName val="Data_sheet9"/>
      <sheetName val="Sheet_19"/>
      <sheetName val="Per_Unit9"/>
      <sheetName val="Pacakges_split9"/>
      <sheetName val="Res_Sheet9"/>
      <sheetName val="Civil_BOQ9"/>
      <sheetName val="2_civil-RA10"/>
      <sheetName val="labour_rates9"/>
      <sheetName val="Civil_&amp;_design9"/>
      <sheetName val="key_info9"/>
      <sheetName val="Cash_Flow9"/>
      <sheetName val="220_11__BS_9"/>
      <sheetName val="Cashflow_projection9"/>
      <sheetName val="Civil_Works15"/>
      <sheetName val="beam-reinft-IIInd_floor14"/>
      <sheetName val="TBAL9697_-group_wise__sdpl13"/>
      <sheetName val="RATE_ANALYSIS_HYDRAULIC_17-0312"/>
      <sheetName val="Staff_Acco_11"/>
      <sheetName val="Name_List11"/>
      <sheetName val="Break_Dw13"/>
      <sheetName val="cables_-_Warmshell11"/>
      <sheetName val="key_dates11"/>
      <sheetName val="Fin_Sum11"/>
      <sheetName val="GR_slab-reinft11"/>
      <sheetName val="Mat_-Rates11"/>
      <sheetName val="Cash_Flow_Input_Data_ISC11"/>
      <sheetName val="final_abstract10"/>
      <sheetName val="Data_sheet10"/>
      <sheetName val="Sheet_110"/>
      <sheetName val="Per_Unit10"/>
      <sheetName val="Pacakges_split10"/>
      <sheetName val="Res_Sheet10"/>
      <sheetName val="Civil_BOQ10"/>
      <sheetName val="2_civil-RA11"/>
      <sheetName val="labour_rates10"/>
      <sheetName val="Civil_&amp;_design10"/>
      <sheetName val="key_info10"/>
      <sheetName val="Cash_Flow10"/>
      <sheetName val="220_11__BS_10"/>
      <sheetName val="Cashflow_projection10"/>
      <sheetName val="Civil_Works16"/>
      <sheetName val="beam-reinft-IIInd_floor15"/>
      <sheetName val="TBAL9697_-group_wise__sdpl14"/>
      <sheetName val="RATE_ANALYSIS_HYDRAULIC_17-0313"/>
      <sheetName val="Staff_Acco_12"/>
      <sheetName val="Name_List12"/>
      <sheetName val="Break_Dw14"/>
      <sheetName val="cables_-_Warmshell12"/>
      <sheetName val="key_dates12"/>
      <sheetName val="Fin_Sum12"/>
      <sheetName val="GR_slab-reinft12"/>
      <sheetName val="Mat_-Rates12"/>
      <sheetName val="Cash_Flow_Input_Data_ISC12"/>
      <sheetName val="final_abstract11"/>
      <sheetName val="Data_sheet11"/>
      <sheetName val="Sheet_111"/>
      <sheetName val="Per_Unit11"/>
      <sheetName val="Pacakges_split11"/>
      <sheetName val="Res_Sheet11"/>
      <sheetName val="Civil_BOQ11"/>
      <sheetName val="2_civil-RA12"/>
      <sheetName val="labour_rates11"/>
      <sheetName val="Civil_&amp;_design11"/>
      <sheetName val="key_info11"/>
      <sheetName val="Cash_Flow11"/>
      <sheetName val="220_11__BS_11"/>
      <sheetName val="Cashflow_projection11"/>
      <sheetName val="Civil_Works19"/>
      <sheetName val="beam-reinft-IIInd_floor18"/>
      <sheetName val="TBAL9697_-group_wise__sdpl17"/>
      <sheetName val="RATE_ANALYSIS_HYDRAULIC_17-0316"/>
      <sheetName val="Staff_Acco_15"/>
      <sheetName val="Name_List15"/>
      <sheetName val="Break_Dw17"/>
      <sheetName val="cables_-_Warmshell15"/>
      <sheetName val="key_dates15"/>
      <sheetName val="Fin_Sum15"/>
      <sheetName val="GR_slab-reinft15"/>
      <sheetName val="Mat_-Rates15"/>
      <sheetName val="Cash_Flow_Input_Data_ISC15"/>
      <sheetName val="final_abstract14"/>
      <sheetName val="Data_sheet14"/>
      <sheetName val="Sheet_114"/>
      <sheetName val="Per_Unit14"/>
      <sheetName val="Pacakges_split14"/>
      <sheetName val="Res_Sheet14"/>
      <sheetName val="Civil_BOQ14"/>
      <sheetName val="2_civil-RA15"/>
      <sheetName val="labour_rates14"/>
      <sheetName val="Civil_&amp;_design14"/>
      <sheetName val="key_info14"/>
      <sheetName val="Cash_Flow14"/>
      <sheetName val="220_11__BS_14"/>
      <sheetName val="Cashflow_projection14"/>
      <sheetName val="Civil_Works17"/>
      <sheetName val="beam-reinft-IIInd_floor16"/>
      <sheetName val="TBAL9697_-group_wise__sdpl15"/>
      <sheetName val="RATE_ANALYSIS_HYDRAULIC_17-0314"/>
      <sheetName val="Staff_Acco_13"/>
      <sheetName val="Name_List13"/>
      <sheetName val="Break_Dw15"/>
      <sheetName val="cables_-_Warmshell13"/>
      <sheetName val="key_dates13"/>
      <sheetName val="Fin_Sum13"/>
      <sheetName val="GR_slab-reinft13"/>
      <sheetName val="Mat_-Rates13"/>
      <sheetName val="Cash_Flow_Input_Data_ISC13"/>
      <sheetName val="final_abstract12"/>
      <sheetName val="Data_sheet12"/>
      <sheetName val="Sheet_112"/>
      <sheetName val="Per_Unit12"/>
      <sheetName val="Pacakges_split12"/>
      <sheetName val="Res_Sheet12"/>
      <sheetName val="Civil_BOQ12"/>
      <sheetName val="2_civil-RA13"/>
      <sheetName val="labour_rates12"/>
      <sheetName val="Civil_&amp;_design12"/>
      <sheetName val="key_info12"/>
      <sheetName val="Cash_Flow12"/>
      <sheetName val="220_11__BS_12"/>
      <sheetName val="Cashflow_projection12"/>
      <sheetName val="Civil_Works23"/>
      <sheetName val="beam-reinft-IIInd_floor22"/>
      <sheetName val="TBAL9697_-group_wise__sdpl21"/>
      <sheetName val="RATE_ANALYSIS_HYDRAULIC_17-0320"/>
      <sheetName val="Staff_Acco_19"/>
      <sheetName val="Name_List19"/>
      <sheetName val="Break_Dw21"/>
      <sheetName val="cables_-_Warmshell19"/>
      <sheetName val="key_dates19"/>
      <sheetName val="Fin_Sum19"/>
      <sheetName val="GR_slab-reinft19"/>
      <sheetName val="Mat_-Rates19"/>
      <sheetName val="Cash_Flow_Input_Data_ISC19"/>
      <sheetName val="final_abstract18"/>
      <sheetName val="Data_sheet18"/>
      <sheetName val="Sheet_118"/>
      <sheetName val="Per_Unit18"/>
      <sheetName val="Pacakges_split18"/>
      <sheetName val="Res_Sheet18"/>
      <sheetName val="Civil_BOQ18"/>
      <sheetName val="2_civil-RA19"/>
      <sheetName val="labour_rates18"/>
      <sheetName val="Civil_&amp;_design18"/>
      <sheetName val="key_info18"/>
      <sheetName val="Cash_Flow18"/>
      <sheetName val="220_11__BS_18"/>
      <sheetName val="Cashflow_projection18"/>
      <sheetName val="Civil_Works18"/>
      <sheetName val="beam-reinft-IIInd_floor17"/>
      <sheetName val="TBAL9697_-group_wise__sdpl16"/>
      <sheetName val="RATE_ANALYSIS_HYDRAULIC_17-0315"/>
      <sheetName val="Staff_Acco_14"/>
      <sheetName val="Name_List14"/>
      <sheetName val="Break_Dw16"/>
      <sheetName val="cables_-_Warmshell14"/>
      <sheetName val="key_dates14"/>
      <sheetName val="Fin_Sum14"/>
      <sheetName val="GR_slab-reinft14"/>
      <sheetName val="Mat_-Rates14"/>
      <sheetName val="Cash_Flow_Input_Data_ISC14"/>
      <sheetName val="final_abstract13"/>
      <sheetName val="Data_sheet13"/>
      <sheetName val="Sheet_113"/>
      <sheetName val="Per_Unit13"/>
      <sheetName val="Pacakges_split13"/>
      <sheetName val="Res_Sheet13"/>
      <sheetName val="Civil_BOQ13"/>
      <sheetName val="2_civil-RA14"/>
      <sheetName val="labour_rates13"/>
      <sheetName val="Civil_&amp;_design13"/>
      <sheetName val="key_info13"/>
      <sheetName val="Cash_Flow13"/>
      <sheetName val="220_11__BS_13"/>
      <sheetName val="Cashflow_projection13"/>
      <sheetName val="Civil_Works20"/>
      <sheetName val="beam-reinft-IIInd_floor19"/>
      <sheetName val="TBAL9697_-group_wise__sdpl18"/>
      <sheetName val="RATE_ANALYSIS_HYDRAULIC_17-0317"/>
      <sheetName val="Staff_Acco_16"/>
      <sheetName val="Name_List16"/>
      <sheetName val="Break_Dw18"/>
      <sheetName val="cables_-_Warmshell16"/>
      <sheetName val="key_dates16"/>
      <sheetName val="Fin_Sum16"/>
      <sheetName val="GR_slab-reinft16"/>
      <sheetName val="Mat_-Rates16"/>
      <sheetName val="Cash_Flow_Input_Data_ISC16"/>
      <sheetName val="final_abstract15"/>
      <sheetName val="Data_sheet15"/>
      <sheetName val="Sheet_115"/>
      <sheetName val="Per_Unit15"/>
      <sheetName val="Pacakges_split15"/>
      <sheetName val="Res_Sheet15"/>
      <sheetName val="Civil_BOQ15"/>
      <sheetName val="2_civil-RA16"/>
      <sheetName val="labour_rates15"/>
      <sheetName val="Civil_&amp;_design15"/>
      <sheetName val="key_info15"/>
      <sheetName val="Cash_Flow15"/>
      <sheetName val="220_11__BS_15"/>
      <sheetName val="Cashflow_projection15"/>
      <sheetName val="Civil_Works21"/>
      <sheetName val="beam-reinft-IIInd_floor20"/>
      <sheetName val="TBAL9697_-group_wise__sdpl19"/>
      <sheetName val="RATE_ANALYSIS_HYDRAULIC_17-0318"/>
      <sheetName val="Staff_Acco_17"/>
      <sheetName val="Name_List17"/>
      <sheetName val="Break_Dw19"/>
      <sheetName val="cables_-_Warmshell17"/>
      <sheetName val="key_dates17"/>
      <sheetName val="Fin_Sum17"/>
      <sheetName val="GR_slab-reinft17"/>
      <sheetName val="Mat_-Rates17"/>
      <sheetName val="Cash_Flow_Input_Data_ISC17"/>
      <sheetName val="final_abstract16"/>
      <sheetName val="Data_sheet16"/>
      <sheetName val="Sheet_116"/>
      <sheetName val="Per_Unit16"/>
      <sheetName val="Pacakges_split16"/>
      <sheetName val="Res_Sheet16"/>
      <sheetName val="Civil_BOQ16"/>
      <sheetName val="2_civil-RA17"/>
      <sheetName val="labour_rates16"/>
      <sheetName val="Civil_&amp;_design16"/>
      <sheetName val="key_info16"/>
      <sheetName val="Cash_Flow16"/>
      <sheetName val="220_11__BS_16"/>
      <sheetName val="Cashflow_projection16"/>
      <sheetName val="Civil_Works22"/>
      <sheetName val="beam-reinft-IIInd_floor21"/>
      <sheetName val="TBAL9697_-group_wise__sdpl20"/>
      <sheetName val="RATE_ANALYSIS_HYDRAULIC_17-0319"/>
      <sheetName val="Staff_Acco_18"/>
      <sheetName val="Name_List18"/>
      <sheetName val="Break_Dw20"/>
      <sheetName val="cables_-_Warmshell18"/>
      <sheetName val="key_dates18"/>
      <sheetName val="Fin_Sum18"/>
      <sheetName val="GR_slab-reinft18"/>
      <sheetName val="Mat_-Rates18"/>
      <sheetName val="Cash_Flow_Input_Data_ISC18"/>
      <sheetName val="final_abstract17"/>
      <sheetName val="Data_sheet17"/>
      <sheetName val="Sheet_117"/>
      <sheetName val="Per_Unit17"/>
      <sheetName val="Pacakges_split17"/>
      <sheetName val="Res_Sheet17"/>
      <sheetName val="Civil_BOQ17"/>
      <sheetName val="2_civil-RA18"/>
      <sheetName val="labour_rates17"/>
      <sheetName val="Civil_&amp;_design17"/>
      <sheetName val="key_info17"/>
      <sheetName val="Cash_Flow17"/>
      <sheetName val="220_11__BS_17"/>
      <sheetName val="Cashflow_projection17"/>
      <sheetName val="Civil_Works24"/>
      <sheetName val="beam-reinft-IIInd_floor23"/>
      <sheetName val="TBAL9697_-group_wise__sdpl22"/>
      <sheetName val="RATE_ANALYSIS_HYDRAULIC_17-0321"/>
      <sheetName val="Staff_Acco_20"/>
      <sheetName val="Name_List20"/>
      <sheetName val="Break_Dw22"/>
      <sheetName val="cables_-_Warmshell20"/>
      <sheetName val="key_dates20"/>
      <sheetName val="Fin_Sum20"/>
      <sheetName val="GR_slab-reinft20"/>
      <sheetName val="Mat_-Rates20"/>
      <sheetName val="Cash_Flow_Input_Data_ISC20"/>
      <sheetName val="final_abstract19"/>
      <sheetName val="Data_sheet19"/>
      <sheetName val="Sheet_119"/>
      <sheetName val="Per_Unit19"/>
      <sheetName val="Pacakges_split19"/>
      <sheetName val="Res_Sheet19"/>
      <sheetName val="Civil_BOQ19"/>
      <sheetName val="2_civil-RA20"/>
      <sheetName val="labour_rates19"/>
      <sheetName val="Civil_&amp;_design19"/>
      <sheetName val="key_info19"/>
      <sheetName val="Cash_Flow19"/>
      <sheetName val="220_11__BS_19"/>
      <sheetName val="Cashflow_projection19"/>
      <sheetName val="Civil_Works26"/>
      <sheetName val="beam-reinft-IIInd_floor25"/>
      <sheetName val="TBAL9697_-group_wise__sdpl24"/>
      <sheetName val="RATE_ANALYSIS_HYDRAULIC_17-0323"/>
      <sheetName val="Staff_Acco_22"/>
      <sheetName val="Name_List22"/>
      <sheetName val="Break_Dw24"/>
      <sheetName val="cables_-_Warmshell22"/>
      <sheetName val="key_dates22"/>
      <sheetName val="Fin_Sum22"/>
      <sheetName val="GR_slab-reinft22"/>
      <sheetName val="Mat_-Rates22"/>
      <sheetName val="Cash_Flow_Input_Data_ISC22"/>
      <sheetName val="final_abstract21"/>
      <sheetName val="Data_sheet21"/>
      <sheetName val="Sheet_121"/>
      <sheetName val="Per_Unit21"/>
      <sheetName val="Pacakges_split21"/>
      <sheetName val="Res_Sheet21"/>
      <sheetName val="Civil_BOQ21"/>
      <sheetName val="2_civil-RA22"/>
      <sheetName val="labour_rates21"/>
      <sheetName val="Civil_&amp;_design21"/>
      <sheetName val="key_info21"/>
      <sheetName val="Cash_Flow21"/>
      <sheetName val="220_11__BS_21"/>
      <sheetName val="Cashflow_projection21"/>
      <sheetName val="Civil_Works25"/>
      <sheetName val="beam-reinft-IIInd_floor24"/>
      <sheetName val="TBAL9697_-group_wise__sdpl23"/>
      <sheetName val="RATE_ANALYSIS_HYDRAULIC_17-0322"/>
      <sheetName val="Staff_Acco_21"/>
      <sheetName val="Name_List21"/>
      <sheetName val="Break_Dw23"/>
      <sheetName val="cables_-_Warmshell21"/>
      <sheetName val="key_dates21"/>
      <sheetName val="Fin_Sum21"/>
      <sheetName val="GR_slab-reinft21"/>
      <sheetName val="Mat_-Rates21"/>
      <sheetName val="Cash_Flow_Input_Data_ISC21"/>
      <sheetName val="final_abstract20"/>
      <sheetName val="Data_sheet20"/>
      <sheetName val="Sheet_120"/>
      <sheetName val="Per_Unit20"/>
      <sheetName val="Pacakges_split20"/>
      <sheetName val="Res_Sheet20"/>
      <sheetName val="Civil_BOQ20"/>
      <sheetName val="2_civil-RA21"/>
      <sheetName val="labour_rates20"/>
      <sheetName val="Civil_&amp;_design20"/>
      <sheetName val="key_info20"/>
      <sheetName val="Cash_Flow20"/>
      <sheetName val="220_11__BS_20"/>
      <sheetName val="Cashflow_projection20"/>
      <sheetName val="Civil_Works27"/>
      <sheetName val="beam-reinft-IIInd_floor26"/>
      <sheetName val="TBAL9697_-group_wise__sdpl25"/>
      <sheetName val="RATE_ANALYSIS_HYDRAULIC_17-0324"/>
      <sheetName val="Staff_Acco_23"/>
      <sheetName val="Name_List23"/>
      <sheetName val="Break_Dw25"/>
      <sheetName val="cables_-_Warmshell23"/>
      <sheetName val="key_dates23"/>
      <sheetName val="Fin_Sum23"/>
      <sheetName val="GR_slab-reinft23"/>
      <sheetName val="Mat_-Rates23"/>
      <sheetName val="Cash_Flow_Input_Data_ISC23"/>
      <sheetName val="final_abstract22"/>
      <sheetName val="Data_sheet22"/>
      <sheetName val="Sheet_122"/>
      <sheetName val="Per_Unit22"/>
      <sheetName val="Pacakges_split22"/>
      <sheetName val="Res_Sheet22"/>
      <sheetName val="Civil_BOQ22"/>
      <sheetName val="2_civil-RA23"/>
      <sheetName val="labour_rates22"/>
      <sheetName val="Civil_&amp;_design22"/>
      <sheetName val="key_info22"/>
      <sheetName val="Cash_Flow22"/>
      <sheetName val="220_11__BS_22"/>
      <sheetName val="Cashflow_projection22"/>
      <sheetName val="Civil_Works28"/>
      <sheetName val="beam-reinft-IIInd_floor27"/>
      <sheetName val="TBAL9697_-group_wise__sdpl26"/>
      <sheetName val="RATE_ANALYSIS_HYDRAULIC_17-0325"/>
      <sheetName val="Staff_Acco_24"/>
      <sheetName val="Name_List24"/>
      <sheetName val="Break_Dw26"/>
      <sheetName val="cables_-_Warmshell24"/>
      <sheetName val="key_dates24"/>
      <sheetName val="Fin_Sum24"/>
      <sheetName val="GR_slab-reinft24"/>
      <sheetName val="Mat_-Rates24"/>
      <sheetName val="Cash_Flow_Input_Data_ISC24"/>
      <sheetName val="final_abstract23"/>
      <sheetName val="Data_sheet23"/>
      <sheetName val="Sheet_123"/>
      <sheetName val="Per_Unit23"/>
      <sheetName val="Pacakges_split23"/>
      <sheetName val="Res_Sheet23"/>
      <sheetName val="Civil_BOQ23"/>
      <sheetName val="2_civil-RA24"/>
      <sheetName val="labour_rates23"/>
      <sheetName val="Civil_&amp;_design23"/>
      <sheetName val="key_info23"/>
      <sheetName val="Cash_Flow23"/>
      <sheetName val="220_11__BS_23"/>
      <sheetName val="Cashflow_projection23"/>
      <sheetName val="Civil_Works34"/>
      <sheetName val="TBAL9697_-group_wise__sdpl32"/>
      <sheetName val="beam-reinft-IIInd_floor33"/>
      <sheetName val="RATE_ANALYSIS_HYDRAULIC_17-0331"/>
      <sheetName val="Staff_Acco_30"/>
      <sheetName val="Name_List30"/>
      <sheetName val="Break_Dw32"/>
      <sheetName val="cables_-_Warmshell30"/>
      <sheetName val="key_dates30"/>
      <sheetName val="Fin_Sum30"/>
      <sheetName val="GR_slab-reinft30"/>
      <sheetName val="Cash_Flow_Input_Data_ISC30"/>
      <sheetName val="Mat_-Rates30"/>
      <sheetName val="Data_sheet29"/>
      <sheetName val="Sheet_129"/>
      <sheetName val="Per_Unit29"/>
      <sheetName val="220_11__BS_29"/>
      <sheetName val="key_info29"/>
      <sheetName val="Pacakges_split29"/>
      <sheetName val="Cashflow_projection29"/>
      <sheetName val="final_abstract29"/>
      <sheetName val="Res_Sheet29"/>
      <sheetName val="Civil_BOQ29"/>
      <sheetName val="2_civil-RA30"/>
      <sheetName val="labour_rates29"/>
      <sheetName val="Civil_&amp;_design29"/>
      <sheetName val="Cash_Flow29"/>
      <sheetName val="Civil_Works29"/>
      <sheetName val="TBAL9697_-group_wise__sdpl27"/>
      <sheetName val="beam-reinft-IIInd_floor28"/>
      <sheetName val="RATE_ANALYSIS_HYDRAULIC_17-0326"/>
      <sheetName val="Staff_Acco_25"/>
      <sheetName val="Name_List25"/>
      <sheetName val="Break_Dw27"/>
      <sheetName val="cables_-_Warmshell25"/>
      <sheetName val="key_dates25"/>
      <sheetName val="Fin_Sum25"/>
      <sheetName val="GR_slab-reinft25"/>
      <sheetName val="Cash_Flow_Input_Data_ISC25"/>
      <sheetName val="Mat_-Rates25"/>
      <sheetName val="Data_sheet24"/>
      <sheetName val="Sheet_124"/>
      <sheetName val="Per_Unit24"/>
      <sheetName val="220_11__BS_24"/>
      <sheetName val="key_info24"/>
      <sheetName val="Pacakges_split24"/>
      <sheetName val="Cashflow_projection24"/>
      <sheetName val="final_abstract24"/>
      <sheetName val="Res_Sheet24"/>
      <sheetName val="Civil_BOQ24"/>
      <sheetName val="2_civil-RA25"/>
      <sheetName val="labour_rates24"/>
      <sheetName val="Civil_&amp;_design24"/>
      <sheetName val="Cash_Flow24"/>
      <sheetName val="Civil_Works33"/>
      <sheetName val="beam-reinft-IIInd_floor32"/>
      <sheetName val="TBAL9697_-group_wise__sdpl31"/>
      <sheetName val="RATE_ANALYSIS_HYDRAULIC_17-0330"/>
      <sheetName val="Staff_Acco_29"/>
      <sheetName val="Name_List29"/>
      <sheetName val="Break_Dw31"/>
      <sheetName val="cables_-_Warmshell29"/>
      <sheetName val="key_dates29"/>
      <sheetName val="Fin_Sum29"/>
      <sheetName val="GR_slab-reinft29"/>
      <sheetName val="Mat_-Rates29"/>
      <sheetName val="Cash_Flow_Input_Data_ISC29"/>
      <sheetName val="final_abstract28"/>
      <sheetName val="Data_sheet28"/>
      <sheetName val="Sheet_128"/>
      <sheetName val="Per_Unit28"/>
      <sheetName val="Pacakges_split28"/>
      <sheetName val="Res_Sheet28"/>
      <sheetName val="Civil_BOQ28"/>
      <sheetName val="2_civil-RA29"/>
      <sheetName val="labour_rates28"/>
      <sheetName val="Civil_&amp;_design28"/>
      <sheetName val="key_info28"/>
      <sheetName val="Cash_Flow28"/>
      <sheetName val="220_11__BS_28"/>
      <sheetName val="Cashflow_projection28"/>
      <sheetName val="Civil_Works30"/>
      <sheetName val="beam-reinft-IIInd_floor29"/>
      <sheetName val="TBAL9697_-group_wise__sdpl28"/>
      <sheetName val="RATE_ANALYSIS_HYDRAULIC_17-0327"/>
      <sheetName val="Staff_Acco_26"/>
      <sheetName val="Name_List26"/>
      <sheetName val="Break_Dw28"/>
      <sheetName val="cables_-_Warmshell26"/>
      <sheetName val="key_dates26"/>
      <sheetName val="Fin_Sum26"/>
      <sheetName val="GR_slab-reinft26"/>
      <sheetName val="Mat_-Rates26"/>
      <sheetName val="Cash_Flow_Input_Data_ISC26"/>
      <sheetName val="final_abstract25"/>
      <sheetName val="Data_sheet25"/>
      <sheetName val="Sheet_125"/>
      <sheetName val="Per_Unit25"/>
      <sheetName val="Pacakges_split25"/>
      <sheetName val="Res_Sheet25"/>
      <sheetName val="Civil_BOQ25"/>
      <sheetName val="2_civil-RA26"/>
      <sheetName val="labour_rates25"/>
      <sheetName val="Civil_&amp;_design25"/>
      <sheetName val="key_info25"/>
      <sheetName val="Cash_Flow25"/>
      <sheetName val="220_11__BS_25"/>
      <sheetName val="Cashflow_projection25"/>
      <sheetName val="Civil_Works31"/>
      <sheetName val="beam-reinft-IIInd_floor30"/>
      <sheetName val="TBAL9697_-group_wise__sdpl29"/>
      <sheetName val="RATE_ANALYSIS_HYDRAULIC_17-0328"/>
      <sheetName val="Staff_Acco_27"/>
      <sheetName val="Name_List27"/>
      <sheetName val="Break_Dw29"/>
      <sheetName val="cables_-_Warmshell27"/>
      <sheetName val="key_dates27"/>
      <sheetName val="Fin_Sum27"/>
      <sheetName val="GR_slab-reinft27"/>
      <sheetName val="Mat_-Rates27"/>
      <sheetName val="Cash_Flow_Input_Data_ISC27"/>
      <sheetName val="final_abstract26"/>
      <sheetName val="Data_sheet26"/>
      <sheetName val="Sheet_126"/>
      <sheetName val="Per_Unit26"/>
      <sheetName val="Pacakges_split26"/>
      <sheetName val="Res_Sheet26"/>
      <sheetName val="Civil_BOQ26"/>
      <sheetName val="2_civil-RA27"/>
      <sheetName val="labour_rates26"/>
      <sheetName val="Civil_&amp;_design26"/>
      <sheetName val="key_info26"/>
      <sheetName val="Cash_Flow26"/>
      <sheetName val="220_11__BS_26"/>
      <sheetName val="Cashflow_projection26"/>
      <sheetName val="Civil_Works32"/>
      <sheetName val="beam-reinft-IIInd_floor31"/>
      <sheetName val="TBAL9697_-group_wise__sdpl30"/>
      <sheetName val="RATE_ANALYSIS_HYDRAULIC_17-0329"/>
      <sheetName val="Staff_Acco_28"/>
      <sheetName val="Name_List28"/>
      <sheetName val="Break_Dw30"/>
      <sheetName val="cables_-_Warmshell28"/>
      <sheetName val="key_dates28"/>
      <sheetName val="Fin_Sum28"/>
      <sheetName val="GR_slab-reinft28"/>
      <sheetName val="Mat_-Rates28"/>
      <sheetName val="Cash_Flow_Input_Data_ISC28"/>
      <sheetName val="final_abstract27"/>
      <sheetName val="Data_sheet27"/>
      <sheetName val="Sheet_127"/>
      <sheetName val="Per_Unit27"/>
      <sheetName val="Pacakges_split27"/>
      <sheetName val="Res_Sheet27"/>
      <sheetName val="Civil_BOQ27"/>
      <sheetName val="2_civil-RA28"/>
      <sheetName val="labour_rates27"/>
      <sheetName val="Civil_&amp;_design27"/>
      <sheetName val="key_info27"/>
      <sheetName val="Cash_Flow27"/>
      <sheetName val="220_11__BS_27"/>
      <sheetName val="Cashflow_projection27"/>
      <sheetName val="Civil_Works35"/>
      <sheetName val="beam-reinft-IIInd_floor34"/>
      <sheetName val="TBAL9697_-group_wise__sdpl33"/>
      <sheetName val="RATE_ANALYSIS_HYDRAULIC_17-0332"/>
      <sheetName val="Staff_Acco_31"/>
      <sheetName val="Name_List31"/>
      <sheetName val="Break_Dw33"/>
      <sheetName val="cables_-_Warmshell31"/>
      <sheetName val="key_dates31"/>
      <sheetName val="Fin_Sum31"/>
      <sheetName val="GR_slab-reinft31"/>
      <sheetName val="Mat_-Rates31"/>
      <sheetName val="Cash_Flow_Input_Data_ISC31"/>
      <sheetName val="final_abstract30"/>
      <sheetName val="Data_sheet30"/>
      <sheetName val="Sheet_130"/>
      <sheetName val="Per_Unit30"/>
      <sheetName val="Pacakges_split30"/>
      <sheetName val="Res_Sheet30"/>
      <sheetName val="Civil_BOQ30"/>
      <sheetName val="2_civil-RA31"/>
      <sheetName val="labour_rates30"/>
      <sheetName val="Civil_&amp;_design30"/>
      <sheetName val="key_info30"/>
      <sheetName val="Cash_Flow30"/>
      <sheetName val="220_11__BS_30"/>
      <sheetName val="Cashflow_projection30"/>
      <sheetName val="Civil_Works36"/>
      <sheetName val="beam-reinft-IIInd_floor35"/>
      <sheetName val="TBAL9697_-group_wise__sdpl34"/>
      <sheetName val="RATE_ANALYSIS_HYDRAULIC_17-0333"/>
      <sheetName val="Staff_Acco_32"/>
      <sheetName val="Name_List32"/>
      <sheetName val="Break_Dw34"/>
      <sheetName val="cables_-_Warmshell32"/>
      <sheetName val="key_dates32"/>
      <sheetName val="Fin_Sum32"/>
      <sheetName val="GR_slab-reinft32"/>
      <sheetName val="Mat_-Rates32"/>
      <sheetName val="Cash_Flow_Input_Data_ISC32"/>
      <sheetName val="final_abstract31"/>
      <sheetName val="Data_sheet31"/>
      <sheetName val="Sheet_131"/>
      <sheetName val="Per_Unit31"/>
      <sheetName val="Pacakges_split31"/>
      <sheetName val="Res_Sheet31"/>
      <sheetName val="Civil_BOQ31"/>
      <sheetName val="2_civil-RA32"/>
      <sheetName val="labour_rates31"/>
      <sheetName val="Civil_&amp;_design31"/>
      <sheetName val="key_info31"/>
      <sheetName val="Cash_Flow31"/>
      <sheetName val="220_11__BS_31"/>
      <sheetName val="Cashflow_projection31"/>
      <sheetName val="Civil_Works37"/>
      <sheetName val="beam-reinft-IIInd_floor36"/>
      <sheetName val="TBAL9697_-group_wise__sdpl35"/>
      <sheetName val="RATE_ANALYSIS_HYDRAULIC_17-0334"/>
      <sheetName val="Staff_Acco_33"/>
      <sheetName val="Name_List33"/>
      <sheetName val="Break_Dw35"/>
      <sheetName val="cables_-_Warmshell33"/>
      <sheetName val="key_dates33"/>
      <sheetName val="Fin_Sum33"/>
      <sheetName val="GR_slab-reinft33"/>
      <sheetName val="Mat_-Rates33"/>
      <sheetName val="Cash_Flow_Input_Data_ISC33"/>
      <sheetName val="final_abstract32"/>
      <sheetName val="Data_sheet32"/>
      <sheetName val="Sheet_132"/>
      <sheetName val="Per_Unit32"/>
      <sheetName val="Pacakges_split32"/>
      <sheetName val="Res_Sheet32"/>
      <sheetName val="Civil_BOQ32"/>
      <sheetName val="2_civil-RA33"/>
      <sheetName val="labour_rates32"/>
      <sheetName val="Civil_&amp;_design32"/>
      <sheetName val="key_info32"/>
      <sheetName val="Cash_Flow32"/>
      <sheetName val="220_11__BS_32"/>
      <sheetName val="Cashflow_projection32"/>
      <sheetName val="Civil_Works42"/>
      <sheetName val="beam-reinft-IIInd_floor41"/>
      <sheetName val="TBAL9697_-group_wise__sdpl40"/>
      <sheetName val="RATE_ANALYSIS_HYDRAULIC_17-0339"/>
      <sheetName val="Staff_Acco_38"/>
      <sheetName val="Name_List38"/>
      <sheetName val="Break_Dw40"/>
      <sheetName val="cables_-_Warmshell38"/>
      <sheetName val="key_dates38"/>
      <sheetName val="Fin_Sum38"/>
      <sheetName val="GR_slab-reinft38"/>
      <sheetName val="Mat_-Rates38"/>
      <sheetName val="Cash_Flow_Input_Data_ISC38"/>
      <sheetName val="final_abstract37"/>
      <sheetName val="Data_sheet37"/>
      <sheetName val="Sheet_137"/>
      <sheetName val="Per_Unit37"/>
      <sheetName val="Pacakges_split37"/>
      <sheetName val="Res_Sheet37"/>
      <sheetName val="Civil_BOQ37"/>
      <sheetName val="2_civil-RA38"/>
      <sheetName val="labour_rates37"/>
      <sheetName val="Civil_&amp;_design37"/>
      <sheetName val="key_info37"/>
      <sheetName val="Cash_Flow37"/>
      <sheetName val="220_11__BS_37"/>
      <sheetName val="Cashflow_projection37"/>
      <sheetName val="Civil_Works38"/>
      <sheetName val="beam-reinft-IIInd_floor37"/>
      <sheetName val="TBAL9697_-group_wise__sdpl36"/>
      <sheetName val="RATE_ANALYSIS_HYDRAULIC_17-0335"/>
      <sheetName val="Staff_Acco_34"/>
      <sheetName val="Name_List34"/>
      <sheetName val="Break_Dw36"/>
      <sheetName val="cables_-_Warmshell34"/>
      <sheetName val="key_dates34"/>
      <sheetName val="Fin_Sum34"/>
      <sheetName val="GR_slab-reinft34"/>
      <sheetName val="Mat_-Rates34"/>
      <sheetName val="Cash_Flow_Input_Data_ISC34"/>
      <sheetName val="final_abstract33"/>
      <sheetName val="Data_sheet33"/>
      <sheetName val="Sheet_133"/>
      <sheetName val="Per_Unit33"/>
      <sheetName val="Pacakges_split33"/>
      <sheetName val="Res_Sheet33"/>
      <sheetName val="Civil_BOQ33"/>
      <sheetName val="2_civil-RA34"/>
      <sheetName val="labour_rates33"/>
      <sheetName val="Civil_&amp;_design33"/>
      <sheetName val="key_info33"/>
      <sheetName val="Cash_Flow33"/>
      <sheetName val="220_11__BS_33"/>
      <sheetName val="Cashflow_projection33"/>
      <sheetName val="Civil_Works40"/>
      <sheetName val="beam-reinft-IIInd_floor39"/>
      <sheetName val="TBAL9697_-group_wise__sdpl38"/>
      <sheetName val="RATE_ANALYSIS_HYDRAULIC_17-0337"/>
      <sheetName val="Staff_Acco_36"/>
      <sheetName val="Name_List36"/>
      <sheetName val="Break_Dw38"/>
      <sheetName val="cables_-_Warmshell36"/>
      <sheetName val="key_dates36"/>
      <sheetName val="Fin_Sum36"/>
      <sheetName val="GR_slab-reinft36"/>
      <sheetName val="Mat_-Rates36"/>
      <sheetName val="Cash_Flow_Input_Data_ISC36"/>
      <sheetName val="final_abstract35"/>
      <sheetName val="Data_sheet35"/>
      <sheetName val="Sheet_135"/>
      <sheetName val="Per_Unit35"/>
      <sheetName val="Pacakges_split35"/>
      <sheetName val="Res_Sheet35"/>
      <sheetName val="Civil_BOQ35"/>
      <sheetName val="2_civil-RA36"/>
      <sheetName val="labour_rates35"/>
      <sheetName val="Civil_&amp;_design35"/>
      <sheetName val="key_info35"/>
      <sheetName val="Cash_Flow35"/>
      <sheetName val="220_11__BS_35"/>
      <sheetName val="Cashflow_projection35"/>
      <sheetName val="Civil_Works39"/>
      <sheetName val="beam-reinft-IIInd_floor38"/>
      <sheetName val="TBAL9697_-group_wise__sdpl37"/>
      <sheetName val="RATE_ANALYSIS_HYDRAULIC_17-0336"/>
      <sheetName val="Staff_Acco_35"/>
      <sheetName val="Name_List35"/>
      <sheetName val="Break_Dw37"/>
      <sheetName val="cables_-_Warmshell35"/>
      <sheetName val="key_dates35"/>
      <sheetName val="Fin_Sum35"/>
      <sheetName val="GR_slab-reinft35"/>
      <sheetName val="Mat_-Rates35"/>
      <sheetName val="Cash_Flow_Input_Data_ISC35"/>
      <sheetName val="final_abstract34"/>
      <sheetName val="Data_sheet34"/>
      <sheetName val="Sheet_134"/>
      <sheetName val="Per_Unit34"/>
      <sheetName val="Pacakges_split34"/>
      <sheetName val="Res_Sheet34"/>
      <sheetName val="Civil_BOQ34"/>
      <sheetName val="2_civil-RA35"/>
      <sheetName val="labour_rates34"/>
      <sheetName val="Civil_&amp;_design34"/>
      <sheetName val="key_info34"/>
      <sheetName val="Cash_Flow34"/>
      <sheetName val="220_11__BS_34"/>
      <sheetName val="Cashflow_projection34"/>
      <sheetName val="Civil_Works41"/>
      <sheetName val="beam-reinft-IIInd_floor40"/>
      <sheetName val="TBAL9697_-group_wise__sdpl39"/>
      <sheetName val="RATE_ANALYSIS_HYDRAULIC_17-0338"/>
      <sheetName val="Staff_Acco_37"/>
      <sheetName val="Name_List37"/>
      <sheetName val="Break_Dw39"/>
      <sheetName val="cables_-_Warmshell37"/>
      <sheetName val="key_dates37"/>
      <sheetName val="Fin_Sum37"/>
      <sheetName val="GR_slab-reinft37"/>
      <sheetName val="Mat_-Rates37"/>
      <sheetName val="Cash_Flow_Input_Data_ISC37"/>
      <sheetName val="final_abstract36"/>
      <sheetName val="Data_sheet36"/>
      <sheetName val="Sheet_136"/>
      <sheetName val="Per_Unit36"/>
      <sheetName val="Pacakges_split36"/>
      <sheetName val="Res_Sheet36"/>
      <sheetName val="Civil_BOQ36"/>
      <sheetName val="2_civil-RA37"/>
      <sheetName val="labour_rates36"/>
      <sheetName val="Civil_&amp;_design36"/>
      <sheetName val="key_info36"/>
      <sheetName val="Cash_Flow36"/>
      <sheetName val="220_11__BS_36"/>
      <sheetName val="Cashflow_projection36"/>
      <sheetName val="Civil_Works43"/>
      <sheetName val="beam-reinft-IIInd_floor42"/>
      <sheetName val="TBAL9697_-group_wise__sdpl41"/>
      <sheetName val="RATE_ANALYSIS_HYDRAULIC_17-0340"/>
      <sheetName val="Staff_Acco_39"/>
      <sheetName val="Name_List39"/>
      <sheetName val="Break_Dw41"/>
      <sheetName val="cables_-_Warmshell39"/>
      <sheetName val="key_dates39"/>
      <sheetName val="Fin_Sum39"/>
      <sheetName val="GR_slab-reinft39"/>
      <sheetName val="Mat_-Rates39"/>
      <sheetName val="Cash_Flow_Input_Data_ISC39"/>
      <sheetName val="final_abstract38"/>
      <sheetName val="Data_sheet38"/>
      <sheetName val="Sheet_138"/>
      <sheetName val="Per_Unit38"/>
      <sheetName val="Pacakges_split38"/>
      <sheetName val="Res_Sheet38"/>
      <sheetName val="Civil_BOQ38"/>
      <sheetName val="2_civil-RA39"/>
      <sheetName val="labour_rates38"/>
      <sheetName val="Civil_&amp;_design38"/>
      <sheetName val="key_info38"/>
      <sheetName val="Cash_Flow38"/>
      <sheetName val="220_11__BS_38"/>
      <sheetName val="Cashflow_projection38"/>
      <sheetName val="Civil_Works44"/>
      <sheetName val="beam-reinft-IIInd_floor43"/>
      <sheetName val="TBAL9697_-group_wise__sdpl42"/>
      <sheetName val="RATE_ANALYSIS_HYDRAULIC_17-0341"/>
      <sheetName val="Staff_Acco_40"/>
      <sheetName val="Name_List40"/>
      <sheetName val="Break_Dw42"/>
      <sheetName val="cables_-_Warmshell40"/>
      <sheetName val="key_dates40"/>
      <sheetName val="Fin_Sum40"/>
      <sheetName val="GR_slab-reinft40"/>
      <sheetName val="Mat_-Rates40"/>
      <sheetName val="Cash_Flow_Input_Data_ISC40"/>
      <sheetName val="final_abstract39"/>
      <sheetName val="Data_sheet39"/>
      <sheetName val="Sheet_139"/>
      <sheetName val="Per_Unit39"/>
      <sheetName val="Pacakges_split39"/>
      <sheetName val="Res_Sheet39"/>
      <sheetName val="Civil_BOQ39"/>
      <sheetName val="2_civil-RA40"/>
      <sheetName val="labour_rates39"/>
      <sheetName val="Civil_&amp;_design39"/>
      <sheetName val="key_info39"/>
      <sheetName val="Cash_Flow39"/>
      <sheetName val="220_11__BS_39"/>
      <sheetName val="Cashflow_projection39"/>
      <sheetName val="Civil_Works45"/>
      <sheetName val="beam-reinft-IIInd_floor44"/>
      <sheetName val="TBAL9697_-group_wise__sdpl43"/>
      <sheetName val="RATE_ANALYSIS_HYDRAULIC_17-0342"/>
      <sheetName val="Staff_Acco_41"/>
      <sheetName val="Name_List41"/>
      <sheetName val="Break_Dw43"/>
      <sheetName val="cables_-_Warmshell41"/>
      <sheetName val="key_dates41"/>
      <sheetName val="Fin_Sum41"/>
      <sheetName val="GR_slab-reinft41"/>
      <sheetName val="Mat_-Rates41"/>
      <sheetName val="Cash_Flow_Input_Data_ISC41"/>
      <sheetName val="final_abstract40"/>
      <sheetName val="Data_sheet40"/>
      <sheetName val="Sheet_140"/>
      <sheetName val="Per_Unit40"/>
      <sheetName val="Pacakges_split40"/>
      <sheetName val="Res_Sheet40"/>
      <sheetName val="Civil_BOQ40"/>
      <sheetName val="2_civil-RA41"/>
      <sheetName val="labour_rates40"/>
      <sheetName val="Civil_&amp;_design40"/>
      <sheetName val="key_info40"/>
      <sheetName val="Cash_Flow40"/>
      <sheetName val="220_11__BS_40"/>
      <sheetName val="Cashflow_projection40"/>
      <sheetName val="Civil_Works46"/>
      <sheetName val="TBAL9697_-group_wise__sdpl44"/>
      <sheetName val="beam-reinft-IIInd_floor45"/>
      <sheetName val="RATE_ANALYSIS_HYDRAULIC_17-0343"/>
      <sheetName val="Staff_Acco_42"/>
      <sheetName val="Name_List42"/>
      <sheetName val="Break_Dw44"/>
      <sheetName val="cables_-_Warmshell42"/>
      <sheetName val="key_dates42"/>
      <sheetName val="Fin_Sum42"/>
      <sheetName val="GR_slab-reinft42"/>
      <sheetName val="Cash_Flow_Input_Data_ISC42"/>
      <sheetName val="Mat_-Rates42"/>
      <sheetName val="Data_sheet41"/>
      <sheetName val="Sheet_141"/>
      <sheetName val="Per_Unit41"/>
      <sheetName val="220_11__BS_41"/>
      <sheetName val="key_info41"/>
      <sheetName val="Pacakges_split41"/>
      <sheetName val="Cashflow_projection41"/>
      <sheetName val="final_abstract41"/>
      <sheetName val="Res_Sheet41"/>
      <sheetName val="Civil_BOQ41"/>
      <sheetName val="2_civil-RA42"/>
      <sheetName val="labour_rates41"/>
      <sheetName val="Civil_&amp;_design41"/>
      <sheetName val="Cash_Flow41"/>
      <sheetName val="Civil_Works48"/>
      <sheetName val="beam-reinft-IIInd_floor47"/>
      <sheetName val="TBAL9697_-group_wise__sdpl46"/>
      <sheetName val="RATE_ANALYSIS_HYDRAULIC_17-0345"/>
      <sheetName val="Staff_Acco_44"/>
      <sheetName val="Name_List44"/>
      <sheetName val="Break_Dw46"/>
      <sheetName val="cables_-_Warmshell44"/>
      <sheetName val="key_dates44"/>
      <sheetName val="Fin_Sum44"/>
      <sheetName val="GR_slab-reinft44"/>
      <sheetName val="Mat_-Rates44"/>
      <sheetName val="Cash_Flow_Input_Data_ISC44"/>
      <sheetName val="final_abstract43"/>
      <sheetName val="Data_sheet43"/>
      <sheetName val="Sheet_143"/>
      <sheetName val="Per_Unit43"/>
      <sheetName val="Pacakges_split43"/>
      <sheetName val="Res_Sheet43"/>
      <sheetName val="Civil_BOQ43"/>
      <sheetName val="2_civil-RA44"/>
      <sheetName val="labour_rates43"/>
      <sheetName val="Civil_&amp;_design43"/>
      <sheetName val="key_info43"/>
      <sheetName val="Cash_Flow43"/>
      <sheetName val="220_11__BS_43"/>
      <sheetName val="Cashflow_projection43"/>
      <sheetName val="Civil_Works47"/>
      <sheetName val="beam-reinft-IIInd_floor46"/>
      <sheetName val="TBAL9697_-group_wise__sdpl45"/>
      <sheetName val="RATE_ANALYSIS_HYDRAULIC_17-0344"/>
      <sheetName val="Staff_Acco_43"/>
      <sheetName val="Name_List43"/>
      <sheetName val="Break_Dw45"/>
      <sheetName val="cables_-_Warmshell43"/>
      <sheetName val="key_dates43"/>
      <sheetName val="Fin_Sum43"/>
      <sheetName val="GR_slab-reinft43"/>
      <sheetName val="Mat_-Rates43"/>
      <sheetName val="Cash_Flow_Input_Data_ISC43"/>
      <sheetName val="final_abstract42"/>
      <sheetName val="Data_sheet42"/>
      <sheetName val="Sheet_142"/>
      <sheetName val="Per_Unit42"/>
      <sheetName val="Pacakges_split42"/>
      <sheetName val="Res_Sheet42"/>
      <sheetName val="Civil_BOQ42"/>
      <sheetName val="2_civil-RA43"/>
      <sheetName val="labour_rates42"/>
      <sheetName val="Civil_&amp;_design42"/>
      <sheetName val="key_info42"/>
      <sheetName val="Cash_Flow42"/>
      <sheetName val="220_11__BS_42"/>
      <sheetName val="Cashflow_projection42"/>
      <sheetName val="Civil_Works51"/>
      <sheetName val="beam-reinft-IIInd_floor50"/>
      <sheetName val="TBAL9697_-group_wise__sdpl49"/>
      <sheetName val="RATE_ANALYSIS_HYDRAULIC_17-0348"/>
      <sheetName val="Staff_Acco_47"/>
      <sheetName val="Name_List47"/>
      <sheetName val="Break_Dw49"/>
      <sheetName val="cables_-_Warmshell47"/>
      <sheetName val="key_dates47"/>
      <sheetName val="Fin_Sum47"/>
      <sheetName val="GR_slab-reinft47"/>
      <sheetName val="Mat_-Rates47"/>
      <sheetName val="Cash_Flow_Input_Data_ISC47"/>
      <sheetName val="final_abstract46"/>
      <sheetName val="Data_sheet46"/>
      <sheetName val="Sheet_146"/>
      <sheetName val="Per_Unit46"/>
      <sheetName val="Pacakges_split46"/>
      <sheetName val="Res_Sheet46"/>
      <sheetName val="Civil_BOQ46"/>
      <sheetName val="2_civil-RA47"/>
      <sheetName val="labour_rates46"/>
      <sheetName val="Civil_&amp;_design46"/>
      <sheetName val="key_info46"/>
      <sheetName val="Cash_Flow46"/>
      <sheetName val="220_11__BS_46"/>
      <sheetName val="Cashflow_projection46"/>
      <sheetName val="Civil_Works50"/>
      <sheetName val="beam-reinft-IIInd_floor49"/>
      <sheetName val="TBAL9697_-group_wise__sdpl48"/>
      <sheetName val="RATE_ANALYSIS_HYDRAULIC_17-0347"/>
      <sheetName val="Staff_Acco_46"/>
      <sheetName val="Name_List46"/>
      <sheetName val="Break_Dw48"/>
      <sheetName val="cables_-_Warmshell46"/>
      <sheetName val="key_dates46"/>
      <sheetName val="Fin_Sum46"/>
      <sheetName val="GR_slab-reinft46"/>
      <sheetName val="Mat_-Rates46"/>
      <sheetName val="Cash_Flow_Input_Data_ISC46"/>
      <sheetName val="final_abstract45"/>
      <sheetName val="Data_sheet45"/>
      <sheetName val="Sheet_145"/>
      <sheetName val="Per_Unit45"/>
      <sheetName val="Pacakges_split45"/>
      <sheetName val="Res_Sheet45"/>
      <sheetName val="Civil_BOQ45"/>
      <sheetName val="2_civil-RA46"/>
      <sheetName val="labour_rates45"/>
      <sheetName val="Civil_&amp;_design45"/>
      <sheetName val="key_info45"/>
      <sheetName val="Cash_Flow45"/>
      <sheetName val="220_11__BS_45"/>
      <sheetName val="Cashflow_projection45"/>
      <sheetName val="Civil_Works49"/>
      <sheetName val="beam-reinft-IIInd_floor48"/>
      <sheetName val="TBAL9697_-group_wise__sdpl47"/>
      <sheetName val="RATE_ANALYSIS_HYDRAULIC_17-0346"/>
      <sheetName val="Staff_Acco_45"/>
      <sheetName val="Name_List45"/>
      <sheetName val="Break_Dw47"/>
      <sheetName val="cables_-_Warmshell45"/>
      <sheetName val="key_dates45"/>
      <sheetName val="Fin_Sum45"/>
      <sheetName val="GR_slab-reinft45"/>
      <sheetName val="Mat_-Rates45"/>
      <sheetName val="Cash_Flow_Input_Data_ISC45"/>
      <sheetName val="final_abstract44"/>
      <sheetName val="Data_sheet44"/>
      <sheetName val="Sheet_144"/>
      <sheetName val="Per_Unit44"/>
      <sheetName val="Pacakges_split44"/>
      <sheetName val="Res_Sheet44"/>
      <sheetName val="Civil_BOQ44"/>
      <sheetName val="2_civil-RA45"/>
      <sheetName val="labour_rates44"/>
      <sheetName val="Civil_&amp;_design44"/>
      <sheetName val="key_info44"/>
      <sheetName val="Cash_Flow44"/>
      <sheetName val="220_11__BS_44"/>
      <sheetName val="Cashflow_projection4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refreshError="1"/>
      <sheetData sheetId="500" refreshError="1"/>
      <sheetData sheetId="501" refreshError="1"/>
      <sheetData sheetId="502"/>
      <sheetData sheetId="503" refreshError="1"/>
      <sheetData sheetId="504" refreshError="1"/>
      <sheetData sheetId="505" refreshError="1"/>
      <sheetData sheetId="506"/>
      <sheetData sheetId="507"/>
      <sheetData sheetId="508" refreshError="1"/>
      <sheetData sheetId="509" refreshError="1"/>
      <sheetData sheetId="510" refreshError="1"/>
      <sheetData sheetId="511" refreshError="1"/>
      <sheetData sheetId="512" refreshError="1"/>
      <sheetData sheetId="513"/>
      <sheetData sheetId="514"/>
      <sheetData sheetId="515"/>
      <sheetData sheetId="516"/>
      <sheetData sheetId="517"/>
      <sheetData sheetId="518"/>
      <sheetData sheetId="519"/>
      <sheetData sheetId="520"/>
      <sheetData sheetId="521" refreshError="1"/>
      <sheetData sheetId="522" refreshError="1"/>
      <sheetData sheetId="523" refreshError="1"/>
      <sheetData sheetId="524" refreshError="1"/>
      <sheetData sheetId="525" refreshError="1"/>
      <sheetData sheetId="526"/>
      <sheetData sheetId="527"/>
      <sheetData sheetId="528"/>
      <sheetData sheetId="529"/>
      <sheetData sheetId="530"/>
      <sheetData sheetId="531"/>
      <sheetData sheetId="532"/>
      <sheetData sheetId="533"/>
      <sheetData sheetId="534"/>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refreshError="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refreshError="1"/>
      <sheetData sheetId="684" refreshError="1"/>
      <sheetData sheetId="685" refreshError="1"/>
      <sheetData sheetId="686" refreshError="1"/>
      <sheetData sheetId="687"/>
      <sheetData sheetId="688" refreshError="1"/>
      <sheetData sheetId="689" refreshError="1"/>
      <sheetData sheetId="690" refreshError="1"/>
      <sheetData sheetId="691"/>
      <sheetData sheetId="692"/>
      <sheetData sheetId="693" refreshError="1"/>
      <sheetData sheetId="694" refreshError="1"/>
      <sheetData sheetId="695" refreshError="1"/>
      <sheetData sheetId="696" refreshError="1"/>
      <sheetData sheetId="697" refreshError="1"/>
      <sheetData sheetId="698"/>
      <sheetData sheetId="699"/>
      <sheetData sheetId="700"/>
      <sheetData sheetId="701"/>
      <sheetData sheetId="702"/>
      <sheetData sheetId="703"/>
      <sheetData sheetId="704"/>
      <sheetData sheetId="705"/>
      <sheetData sheetId="706" refreshError="1"/>
      <sheetData sheetId="707" refreshError="1"/>
      <sheetData sheetId="708" refreshError="1"/>
      <sheetData sheetId="709" refreshError="1"/>
      <sheetData sheetId="710"/>
      <sheetData sheetId="711"/>
      <sheetData sheetId="712"/>
      <sheetData sheetId="713"/>
      <sheetData sheetId="714"/>
      <sheetData sheetId="715"/>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sheetData sheetId="728"/>
      <sheetData sheetId="729"/>
      <sheetData sheetId="730" refreshError="1"/>
      <sheetData sheetId="731" refreshError="1"/>
      <sheetData sheetId="732"/>
      <sheetData sheetId="733"/>
      <sheetData sheetId="734"/>
      <sheetData sheetId="735"/>
      <sheetData sheetId="736"/>
      <sheetData sheetId="737"/>
      <sheetData sheetId="738"/>
      <sheetData sheetId="739" refreshError="1"/>
      <sheetData sheetId="740"/>
      <sheetData sheetId="741"/>
      <sheetData sheetId="742"/>
      <sheetData sheetId="743"/>
      <sheetData sheetId="744"/>
      <sheetData sheetId="745"/>
      <sheetData sheetId="746"/>
      <sheetData sheetId="747"/>
      <sheetData sheetId="748"/>
      <sheetData sheetId="749"/>
      <sheetData sheetId="750"/>
      <sheetData sheetId="751"/>
      <sheetData sheetId="752" refreshError="1"/>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sheetData sheetId="800"/>
      <sheetData sheetId="80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As per PCA"/>
      <sheetName val="As per BOQ"/>
      <sheetName val="TN-6_Chart"/>
      <sheetName val="Section 1_DPR"/>
      <sheetName val="Section 1 _Qty"/>
      <sheetName val="Section 1_Chart"/>
      <sheetName val="Section 2_DPR"/>
      <sheetName val="Section 2_Qty"/>
      <sheetName val="Section 2_Chart"/>
      <sheetName val="Section 3_DPR."/>
      <sheetName val="Section 3_Qty"/>
      <sheetName val="Section 3_Chart"/>
      <sheetName val="Data"/>
      <sheetName val="Lead"/>
      <sheetName val="p&amp;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CRUTINY"/>
      <sheetName val="EMD"/>
      <sheetName val="CO-EFF."/>
      <sheetName val="comperitive"/>
      <sheetName val="sheet3"/>
      <sheetName val="Sheet4"/>
      <sheetName val="Sheet5"/>
      <sheetName val="Sheet6"/>
      <sheetName val="sheeet7"/>
      <sheetName val="PRECAST lightconc-II"/>
      <sheetName val="ggp1"/>
      <sheetName val="p&amp;m"/>
      <sheetName val="Boq"/>
      <sheetName val="TBAL9697 -group wise  sdpl"/>
      <sheetName val="labour coeff"/>
      <sheetName val="Fill this out first..."/>
      <sheetName val="Data"/>
      <sheetName val="Lead"/>
      <sheetName val="Sheet2"/>
      <sheetName val="AOR"/>
      <sheetName val="INTSHEET"/>
      <sheetName val="INTSHEET3"/>
      <sheetName val="A.O.R."/>
      <sheetName val="Measurment"/>
      <sheetName val="As per PCA"/>
      <sheetName val="Rate analysis"/>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Rate analysis (revised)"/>
      <sheetName val="Summary"/>
      <sheetName val="Estimate"/>
      <sheetName val="Rate analysis"/>
      <sheetName val="WIRING Devices"/>
      <sheetName val="DB"/>
      <sheetName val="Costing"/>
      <sheetName val="calcul"/>
    </sheetNames>
    <sheetDataSet>
      <sheetData sheetId="0" refreshError="1"/>
      <sheetData sheetId="1" refreshError="1"/>
      <sheetData sheetId="2" refreshError="1"/>
      <sheetData sheetId="3"/>
      <sheetData sheetId="4"/>
      <sheetData sheetId="5" refreshError="1"/>
      <sheetData sheetId="6" refreshError="1"/>
      <sheetData sheetId="7"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Encl."/>
      <sheetName val="Tender Gist"/>
      <sheetName val="EMD Req form"/>
      <sheetName val="BP"/>
      <sheetName val="P+M "/>
      <sheetName val="Summary of reductions"/>
      <sheetName val="Split Up"/>
      <sheetName val="Boq"/>
      <sheetName val="RA"/>
      <sheetName val="Annexure - 1"/>
      <sheetName val="Std"/>
      <sheetName val="OH"/>
      <sheetName val="TS"/>
      <sheetName val="Cem. Consmption"/>
      <sheetName val="Scaffolding"/>
      <sheetName val="Civil Works"/>
      <sheetName val="3. Elemental Summary"/>
      <sheetName val="9. Package split - Cost "/>
      <sheetName val="10. &amp; 11. Rate Code &amp; BQ"/>
      <sheetName val="NetBQ"/>
      <sheetName val="TBAL9697 -group wise  sdpl"/>
      <sheetName val="PRECAST lightconc-II"/>
      <sheetName val="sheeet7"/>
      <sheetName val="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TOP"/>
      <sheetName val="BOQ"/>
      <sheetName val="POINTS"/>
      <sheetName val="3BHK (P)"/>
      <sheetName val="PCS"/>
      <sheetName val="PCS DATA"/>
      <sheetName val="WIRING"/>
      <sheetName val="CCS"/>
      <sheetName val="CT"/>
      <sheetName val="PCS QTY"/>
      <sheetName val="earthing"/>
    </sheetNames>
    <sheetDataSet>
      <sheetData sheetId="0"/>
      <sheetData sheetId="1"/>
      <sheetData sheetId="2"/>
      <sheetData sheetId="3"/>
      <sheetData sheetId="4"/>
      <sheetData sheetId="5">
        <row r="3">
          <cell r="B3" t="str">
            <v>1.1kV Grade, 1Cx4Sqmm Ar, Al.</v>
          </cell>
        </row>
        <row r="4">
          <cell r="B4" t="str">
            <v>1.1kV Grade, 1Cx6Sqmm Ar, Al.</v>
          </cell>
        </row>
        <row r="5">
          <cell r="B5" t="str">
            <v>1.1kV Grade, 1Cx10Sqmm Ar, Al.</v>
          </cell>
        </row>
        <row r="6">
          <cell r="B6" t="str">
            <v>1.1kV Grade, 1Cx16Sqmm Ar, Al.</v>
          </cell>
        </row>
        <row r="7">
          <cell r="B7" t="str">
            <v>1.1kV Grade, 1Cx25Sqmm Ar, Al.</v>
          </cell>
        </row>
        <row r="8">
          <cell r="B8" t="str">
            <v>1.1kV Grade, 1Cx35Sqmm Ar, Al.</v>
          </cell>
        </row>
        <row r="9">
          <cell r="B9" t="str">
            <v>1.1kV Grade, 1Cx50Sqmm Ar, Al.</v>
          </cell>
        </row>
        <row r="10">
          <cell r="B10" t="str">
            <v>1.1kV Grade, 1Cx70Sqmm Ar, Al.</v>
          </cell>
        </row>
        <row r="11">
          <cell r="B11" t="str">
            <v>1.1kV Grade, 1Cx95Sqmm Ar, Al.</v>
          </cell>
        </row>
        <row r="12">
          <cell r="B12" t="str">
            <v>1.1kV Grade, 1Cx120Sqmm Ar, Al.</v>
          </cell>
        </row>
        <row r="13">
          <cell r="B13" t="str">
            <v>1.1kV Grade, 1Cx150Sqmm Ar, Al.</v>
          </cell>
        </row>
        <row r="14">
          <cell r="B14" t="str">
            <v>1.1kV Grade, 1Cx185Sqmm Ar, Al.</v>
          </cell>
        </row>
        <row r="15">
          <cell r="B15" t="str">
            <v>1.1kV Grade, 1Cx240Sqmm Ar, Al.</v>
          </cell>
        </row>
        <row r="16">
          <cell r="B16" t="str">
            <v>1.1kV Grade, 1Cx300Sqmm Ar, Al.</v>
          </cell>
        </row>
        <row r="17">
          <cell r="B17" t="str">
            <v>1.1kV Grade, 1Cx400Sqmm Ar, Al.</v>
          </cell>
        </row>
        <row r="18">
          <cell r="B18" t="str">
            <v>1.1kV Grade, 1Cx500Sqmm Ar, Al.</v>
          </cell>
        </row>
        <row r="19">
          <cell r="B19" t="str">
            <v>1.1kV Grade, 1Cx630Sqmm Ar, Al.</v>
          </cell>
        </row>
        <row r="20">
          <cell r="B20" t="str">
            <v>1.1kV Grade, 1Cx800Sqmm Ar, Al.</v>
          </cell>
        </row>
        <row r="21">
          <cell r="B21" t="str">
            <v>1.1kV Grade, 1Cx1000Sqmm Ar, Al.</v>
          </cell>
        </row>
        <row r="22">
          <cell r="B22" t="str">
            <v/>
          </cell>
        </row>
        <row r="23">
          <cell r="B23" t="str">
            <v>1.1kV Grade, 2Cx1.5Sqmm Ar,Cu</v>
          </cell>
        </row>
        <row r="24">
          <cell r="B24" t="str">
            <v>1.1kV Grade, 2Cx2.5Sqmm Ar, Cu</v>
          </cell>
        </row>
        <row r="25">
          <cell r="B25" t="str">
            <v>1.1kV Grade, 2Cx4Sqmm Ar, Al.</v>
          </cell>
        </row>
        <row r="26">
          <cell r="B26" t="str">
            <v>1.1kV Grade, 2Cx6Sqmm Ar, Al.</v>
          </cell>
        </row>
        <row r="27">
          <cell r="B27" t="str">
            <v>1.1kV Grade, 2Cx10Sqmm Ar, Al.</v>
          </cell>
        </row>
        <row r="28">
          <cell r="B28" t="str">
            <v>1.1kV Grade, 2Cx16Sqmm Ar, Al.</v>
          </cell>
        </row>
        <row r="29">
          <cell r="B29" t="str">
            <v>1.1kV Grade, 2Cx25Sqmm Ar, Al.</v>
          </cell>
        </row>
        <row r="30">
          <cell r="B30" t="str">
            <v>1.1kV Grade, 2Cx35Sqmm Ar, Al.</v>
          </cell>
        </row>
        <row r="31">
          <cell r="B31" t="str">
            <v>1.1kV Grade, 2Cx50Sqmm Ar, Al.</v>
          </cell>
        </row>
        <row r="32">
          <cell r="B32" t="str">
            <v/>
          </cell>
        </row>
        <row r="33">
          <cell r="B33" t="str">
            <v>1.1kV Grade, 3Cx1.5Sqmm Ar, Cu</v>
          </cell>
        </row>
        <row r="34">
          <cell r="B34" t="str">
            <v>1.1kV Grade, 3Cx2.5Sqmm Ar, Cu</v>
          </cell>
        </row>
        <row r="35">
          <cell r="B35" t="str">
            <v>1.1kV Grade, 3Cx4Sqmm Ar, Al.</v>
          </cell>
        </row>
        <row r="36">
          <cell r="B36" t="str">
            <v>1.1kV Grade, 3Cx6Sqmm Ar, Al</v>
          </cell>
        </row>
        <row r="37">
          <cell r="B37" t="str">
            <v>1.1kV Grade, 3Cx10Sqmm Ar, Al.</v>
          </cell>
        </row>
        <row r="38">
          <cell r="B38" t="str">
            <v>1.1kV Grade, 3Cx16Sqmm Ar, Al.</v>
          </cell>
        </row>
        <row r="39">
          <cell r="B39" t="str">
            <v>1.1kV Grade, 3Cx25Sqmm Ar, Al.</v>
          </cell>
        </row>
        <row r="40">
          <cell r="B40" t="str">
            <v>1.1kV Grade, 3Cx35Sqmm Ar, Al.</v>
          </cell>
        </row>
        <row r="41">
          <cell r="B41" t="str">
            <v>1.1kV Grade, 3Cx50Sqmm Ar, Al.</v>
          </cell>
        </row>
        <row r="42">
          <cell r="B42" t="str">
            <v>1.1kV Grade, 3Cx70Sqmm Ar, Al.</v>
          </cell>
        </row>
        <row r="43">
          <cell r="B43" t="str">
            <v>1.1kV Grade, 3Cx95Sqmm Ar, Al.</v>
          </cell>
        </row>
        <row r="44">
          <cell r="B44" t="str">
            <v>1.1kV Grade, 3Cx120Sqmm Ar, Al.</v>
          </cell>
        </row>
        <row r="45">
          <cell r="B45" t="str">
            <v>1.1kV Grade, 3Cx150Sqmm Ar, Al.</v>
          </cell>
        </row>
        <row r="46">
          <cell r="B46" t="str">
            <v>1.1kV Grade, 3Cx185Sqmm Ar, Al.</v>
          </cell>
        </row>
        <row r="47">
          <cell r="B47" t="str">
            <v>1.1kV Grade, 3Cx240Sqmm Ar, Al.</v>
          </cell>
        </row>
        <row r="48">
          <cell r="B48" t="str">
            <v>1.1kV Grade, 3Cx300Sqmm Ar, Al.</v>
          </cell>
        </row>
        <row r="49">
          <cell r="B49" t="str">
            <v>1.1kV Grade, 3Cx400Sqmm Ar, Al.</v>
          </cell>
        </row>
        <row r="50">
          <cell r="B50" t="str">
            <v>1.1kV Grade, 3Cx500Sqmm Ar, Al.</v>
          </cell>
        </row>
        <row r="51">
          <cell r="B51" t="str">
            <v/>
          </cell>
        </row>
        <row r="52">
          <cell r="B52" t="str">
            <v>1.1kV Grade, 3.5Cx25Sqmm Ar, Al.</v>
          </cell>
        </row>
        <row r="53">
          <cell r="B53" t="str">
            <v>1.1kV Grade, 3.5Cx35Sqmm Ar, Al.</v>
          </cell>
        </row>
        <row r="54">
          <cell r="B54" t="str">
            <v>1.1kV Grade, 3.5Cx50Sqmm Ar, Al.</v>
          </cell>
        </row>
        <row r="55">
          <cell r="B55" t="str">
            <v>1.1kV Grade, 3.5Cx70Sqmm Ar, Al.</v>
          </cell>
        </row>
        <row r="56">
          <cell r="B56" t="str">
            <v>1.1kV Grade, 3.5Cx95Sqmm Ar, Al.</v>
          </cell>
        </row>
        <row r="57">
          <cell r="B57" t="str">
            <v>1.1kV Grade, 3.5Cx120Sqmm Ar, Al.</v>
          </cell>
        </row>
        <row r="58">
          <cell r="B58" t="str">
            <v>1.1kV Grade, 3.5Cx150Sqmm Ar, Al.</v>
          </cell>
        </row>
        <row r="59">
          <cell r="B59" t="str">
            <v>1.1kV Grade, 3.5Cx185Sqmm Ar, Al.</v>
          </cell>
        </row>
        <row r="60">
          <cell r="B60" t="str">
            <v>1.1kV Grade, 3.5Cx240Sqmm Ar, Al.</v>
          </cell>
        </row>
        <row r="61">
          <cell r="B61" t="str">
            <v>1.1kV Grade, 3.5Cx300Sqmm Ar, Al.</v>
          </cell>
        </row>
        <row r="62">
          <cell r="B62" t="str">
            <v>1.1kV Grade, 3.5Cx400Sqmm Ar, Al.</v>
          </cell>
        </row>
        <row r="63">
          <cell r="B63" t="str">
            <v>1.1kV Grade, 3.5Cx500Sqmm Ar, Al.</v>
          </cell>
        </row>
        <row r="65">
          <cell r="B65" t="str">
            <v>1.1kV Grade, 4Cx1.5Sqmm Ar, Cu</v>
          </cell>
        </row>
        <row r="66">
          <cell r="B66" t="str">
            <v>1.1kV Grade, 4Cx2.5Sqmm Ar, Cu</v>
          </cell>
        </row>
        <row r="67">
          <cell r="B67" t="str">
            <v>1.1kV Grade, 4Cx4Sqmm Ar, Al.</v>
          </cell>
        </row>
        <row r="68">
          <cell r="B68" t="str">
            <v>1.1kV Grade, 4Cx6Sqmm Ar, Al</v>
          </cell>
        </row>
        <row r="69">
          <cell r="B69" t="str">
            <v>1.1kV Grade, 4Cx10Sqmm Ar, Al.</v>
          </cell>
        </row>
        <row r="70">
          <cell r="B70" t="str">
            <v>1.1kV Grade, 4Cx16Sqmm Ar, Al.</v>
          </cell>
        </row>
        <row r="71">
          <cell r="B71" t="str">
            <v>1.1kV Grade, 4Cx25Sqmm Ar, Al.</v>
          </cell>
        </row>
        <row r="72">
          <cell r="B72" t="str">
            <v>1.1kV Grade, 4Cx35Sqmm Ar, Al.</v>
          </cell>
        </row>
        <row r="73">
          <cell r="B73" t="str">
            <v>1.1kV Grade, 4Cx50Sqmm Ar, Al.</v>
          </cell>
        </row>
        <row r="74">
          <cell r="B74" t="str">
            <v/>
          </cell>
        </row>
      </sheetData>
      <sheetData sheetId="6"/>
      <sheetData sheetId="7"/>
      <sheetData sheetId="8"/>
      <sheetData sheetId="9"/>
      <sheetData sheetId="10"/>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TOP"/>
      <sheetName val="BOQ"/>
      <sheetName val="POINTS"/>
      <sheetName val="3BHK (P)"/>
      <sheetName val="PCS"/>
      <sheetName val="PCS DATA"/>
      <sheetName val="WIRING"/>
      <sheetName val="CCS"/>
      <sheetName val="CT"/>
      <sheetName val="PCS QTY"/>
      <sheetName val="earthing"/>
    </sheetNames>
    <sheetDataSet>
      <sheetData sheetId="0"/>
      <sheetData sheetId="1"/>
      <sheetData sheetId="2"/>
      <sheetData sheetId="3"/>
      <sheetData sheetId="4"/>
      <sheetData sheetId="5">
        <row r="3">
          <cell r="B3" t="str">
            <v>1.1kV Grade, 1Cx4Sqmm Ar, Al.</v>
          </cell>
        </row>
        <row r="4">
          <cell r="B4" t="str">
            <v>1.1kV Grade, 1Cx6Sqmm Ar, Al.</v>
          </cell>
        </row>
        <row r="5">
          <cell r="B5" t="str">
            <v>1.1kV Grade, 1Cx10Sqmm Ar, Al.</v>
          </cell>
        </row>
        <row r="6">
          <cell r="B6" t="str">
            <v>1.1kV Grade, 1Cx16Sqmm Ar, Al.</v>
          </cell>
        </row>
        <row r="7">
          <cell r="B7" t="str">
            <v>1.1kV Grade, 1Cx25Sqmm Ar, Al.</v>
          </cell>
        </row>
        <row r="8">
          <cell r="B8" t="str">
            <v>1.1kV Grade, 1Cx35Sqmm Ar, Al.</v>
          </cell>
        </row>
        <row r="9">
          <cell r="B9" t="str">
            <v>1.1kV Grade, 1Cx50Sqmm Ar, Al.</v>
          </cell>
        </row>
        <row r="10">
          <cell r="B10" t="str">
            <v>1.1kV Grade, 1Cx70Sqmm Ar, Al.</v>
          </cell>
        </row>
        <row r="11">
          <cell r="B11" t="str">
            <v>1.1kV Grade, 1Cx95Sqmm Ar, Al.</v>
          </cell>
        </row>
        <row r="12">
          <cell r="B12" t="str">
            <v>1.1kV Grade, 1Cx120Sqmm Ar, Al.</v>
          </cell>
        </row>
        <row r="13">
          <cell r="B13" t="str">
            <v>1.1kV Grade, 1Cx150Sqmm Ar, Al.</v>
          </cell>
        </row>
        <row r="14">
          <cell r="B14" t="str">
            <v>1.1kV Grade, 1Cx185Sqmm Ar, Al.</v>
          </cell>
        </row>
        <row r="15">
          <cell r="B15" t="str">
            <v>1.1kV Grade, 1Cx240Sqmm Ar, Al.</v>
          </cell>
        </row>
        <row r="16">
          <cell r="B16" t="str">
            <v>1.1kV Grade, 1Cx300Sqmm Ar, Al.</v>
          </cell>
        </row>
        <row r="17">
          <cell r="B17" t="str">
            <v>1.1kV Grade, 1Cx400Sqmm Ar, Al.</v>
          </cell>
        </row>
        <row r="18">
          <cell r="B18" t="str">
            <v>1.1kV Grade, 1Cx500Sqmm Ar, Al.</v>
          </cell>
        </row>
        <row r="19">
          <cell r="B19" t="str">
            <v>1.1kV Grade, 1Cx630Sqmm Ar, Al.</v>
          </cell>
        </row>
        <row r="20">
          <cell r="B20" t="str">
            <v>1.1kV Grade, 1Cx800Sqmm Ar, Al.</v>
          </cell>
        </row>
        <row r="21">
          <cell r="B21" t="str">
            <v>1.1kV Grade, 1Cx1000Sqmm Ar, Al.</v>
          </cell>
        </row>
        <row r="22">
          <cell r="B22" t="str">
            <v/>
          </cell>
        </row>
        <row r="23">
          <cell r="B23" t="str">
            <v>1.1kV Grade, 2Cx1.5Sqmm Ar,Cu</v>
          </cell>
        </row>
        <row r="24">
          <cell r="B24" t="str">
            <v>1.1kV Grade, 2Cx2.5Sqmm Ar, Cu</v>
          </cell>
        </row>
        <row r="25">
          <cell r="B25" t="str">
            <v>1.1kV Grade, 2Cx4Sqmm Ar, Al.</v>
          </cell>
        </row>
        <row r="26">
          <cell r="B26" t="str">
            <v>1.1kV Grade, 2Cx6Sqmm Ar, Al.</v>
          </cell>
        </row>
        <row r="27">
          <cell r="B27" t="str">
            <v>1.1kV Grade, 2Cx10Sqmm Ar, Al.</v>
          </cell>
        </row>
        <row r="28">
          <cell r="B28" t="str">
            <v>1.1kV Grade, 2Cx16Sqmm Ar, Al.</v>
          </cell>
        </row>
        <row r="29">
          <cell r="B29" t="str">
            <v>1.1kV Grade, 2Cx25Sqmm Ar, Al.</v>
          </cell>
        </row>
        <row r="30">
          <cell r="B30" t="str">
            <v>1.1kV Grade, 2Cx35Sqmm Ar, Al.</v>
          </cell>
        </row>
        <row r="31">
          <cell r="B31" t="str">
            <v>1.1kV Grade, 2Cx50Sqmm Ar, Al.</v>
          </cell>
        </row>
        <row r="32">
          <cell r="B32" t="str">
            <v/>
          </cell>
        </row>
        <row r="33">
          <cell r="B33" t="str">
            <v>1.1kV Grade, 3Cx1.5Sqmm Ar, Cu</v>
          </cell>
        </row>
        <row r="34">
          <cell r="B34" t="str">
            <v>1.1kV Grade, 3Cx2.5Sqmm Ar, Cu</v>
          </cell>
        </row>
        <row r="35">
          <cell r="B35" t="str">
            <v>1.1kV Grade, 3Cx4Sqmm Ar, Al.</v>
          </cell>
        </row>
        <row r="36">
          <cell r="B36" t="str">
            <v>1.1kV Grade, 3Cx6Sqmm Ar, Al</v>
          </cell>
        </row>
        <row r="37">
          <cell r="B37" t="str">
            <v>1.1kV Grade, 3Cx10Sqmm Ar, Al.</v>
          </cell>
        </row>
        <row r="38">
          <cell r="B38" t="str">
            <v>1.1kV Grade, 3Cx16Sqmm Ar, Al.</v>
          </cell>
        </row>
        <row r="39">
          <cell r="B39" t="str">
            <v>1.1kV Grade, 3Cx25Sqmm Ar, Al.</v>
          </cell>
        </row>
        <row r="40">
          <cell r="B40" t="str">
            <v>1.1kV Grade, 3Cx35Sqmm Ar, Al.</v>
          </cell>
        </row>
        <row r="41">
          <cell r="B41" t="str">
            <v>1.1kV Grade, 3Cx50Sqmm Ar, Al.</v>
          </cell>
        </row>
        <row r="42">
          <cell r="B42" t="str">
            <v>1.1kV Grade, 3Cx70Sqmm Ar, Al.</v>
          </cell>
        </row>
        <row r="43">
          <cell r="B43" t="str">
            <v>1.1kV Grade, 3Cx95Sqmm Ar, Al.</v>
          </cell>
        </row>
        <row r="44">
          <cell r="B44" t="str">
            <v>1.1kV Grade, 3Cx120Sqmm Ar, Al.</v>
          </cell>
        </row>
        <row r="45">
          <cell r="B45" t="str">
            <v>1.1kV Grade, 3Cx150Sqmm Ar, Al.</v>
          </cell>
        </row>
        <row r="46">
          <cell r="B46" t="str">
            <v>1.1kV Grade, 3Cx185Sqmm Ar, Al.</v>
          </cell>
        </row>
        <row r="47">
          <cell r="B47" t="str">
            <v>1.1kV Grade, 3Cx240Sqmm Ar, Al.</v>
          </cell>
        </row>
        <row r="48">
          <cell r="B48" t="str">
            <v>1.1kV Grade, 3Cx300Sqmm Ar, Al.</v>
          </cell>
        </row>
        <row r="49">
          <cell r="B49" t="str">
            <v>1.1kV Grade, 3Cx400Sqmm Ar, Al.</v>
          </cell>
        </row>
        <row r="50">
          <cell r="B50" t="str">
            <v>1.1kV Grade, 3Cx500Sqmm Ar, Al.</v>
          </cell>
        </row>
        <row r="51">
          <cell r="B51" t="str">
            <v/>
          </cell>
        </row>
        <row r="52">
          <cell r="B52" t="str">
            <v>1.1kV Grade, 3.5Cx25Sqmm Ar, Al.</v>
          </cell>
        </row>
        <row r="53">
          <cell r="B53" t="str">
            <v>1.1kV Grade, 3.5Cx35Sqmm Ar, Al.</v>
          </cell>
        </row>
        <row r="54">
          <cell r="B54" t="str">
            <v>1.1kV Grade, 3.5Cx50Sqmm Ar, Al.</v>
          </cell>
        </row>
        <row r="55">
          <cell r="B55" t="str">
            <v>1.1kV Grade, 3.5Cx70Sqmm Ar, Al.</v>
          </cell>
        </row>
        <row r="56">
          <cell r="B56" t="str">
            <v>1.1kV Grade, 3.5Cx95Sqmm Ar, Al.</v>
          </cell>
        </row>
        <row r="57">
          <cell r="B57" t="str">
            <v>1.1kV Grade, 3.5Cx120Sqmm Ar, Al.</v>
          </cell>
        </row>
        <row r="58">
          <cell r="B58" t="str">
            <v>1.1kV Grade, 3.5Cx150Sqmm Ar, Al.</v>
          </cell>
        </row>
        <row r="59">
          <cell r="B59" t="str">
            <v>1.1kV Grade, 3.5Cx185Sqmm Ar, Al.</v>
          </cell>
        </row>
        <row r="60">
          <cell r="B60" t="str">
            <v>1.1kV Grade, 3.5Cx240Sqmm Ar, Al.</v>
          </cell>
        </row>
        <row r="61">
          <cell r="B61" t="str">
            <v>1.1kV Grade, 3.5Cx300Sqmm Ar, Al.</v>
          </cell>
        </row>
        <row r="62">
          <cell r="B62" t="str">
            <v>1.1kV Grade, 3.5Cx400Sqmm Ar, Al.</v>
          </cell>
        </row>
        <row r="63">
          <cell r="B63" t="str">
            <v>1.1kV Grade, 3.5Cx500Sqmm Ar, Al.</v>
          </cell>
        </row>
        <row r="65">
          <cell r="B65" t="str">
            <v>1.1kV Grade, 4Cx1.5Sqmm Ar, Cu</v>
          </cell>
        </row>
        <row r="66">
          <cell r="B66" t="str">
            <v>1.1kV Grade, 4Cx2.5Sqmm Ar, Cu</v>
          </cell>
        </row>
        <row r="67">
          <cell r="B67" t="str">
            <v>1.1kV Grade, 4Cx4Sqmm Ar, Al.</v>
          </cell>
        </row>
        <row r="68">
          <cell r="B68" t="str">
            <v>1.1kV Grade, 4Cx6Sqmm Ar, Al</v>
          </cell>
        </row>
        <row r="69">
          <cell r="B69" t="str">
            <v>1.1kV Grade, 4Cx10Sqmm Ar, Al.</v>
          </cell>
        </row>
        <row r="70">
          <cell r="B70" t="str">
            <v>1.1kV Grade, 4Cx16Sqmm Ar, Al.</v>
          </cell>
        </row>
        <row r="71">
          <cell r="B71" t="str">
            <v>1.1kV Grade, 4Cx25Sqmm Ar, Al.</v>
          </cell>
        </row>
        <row r="72">
          <cell r="B72" t="str">
            <v>1.1kV Grade, 4Cx35Sqmm Ar, Al.</v>
          </cell>
        </row>
        <row r="73">
          <cell r="B73" t="str">
            <v>1.1kV Grade, 4Cx50Sqmm Ar, Al.</v>
          </cell>
        </row>
        <row r="74">
          <cell r="B74" t="str">
            <v/>
          </cell>
        </row>
      </sheetData>
      <sheetData sheetId="6"/>
      <sheetData sheetId="7"/>
      <sheetData sheetId="8"/>
      <sheetData sheetId="9"/>
      <sheetData sheetId="10"/>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CONC"/>
      <sheetName val="EARTH"/>
      <sheetName val="GBW"/>
      <sheetName val="WSRSS"/>
      <sheetName val=" Steel Work"/>
      <sheetName val="ROADS"/>
      <sheetName val="TOTOL OF SECTION"/>
      <sheetName val="BOQ"/>
      <sheetName val="Fee Rate Summary"/>
      <sheetName val="PRECAST lightconc-II"/>
      <sheetName val="INDEX"/>
      <sheetName val="AREAS"/>
      <sheetName val="SITE OVERHEADS"/>
      <sheetName val="환율"/>
      <sheetName val="concrete"/>
      <sheetName val="TBAL9697 -group wise  sdpl"/>
      <sheetName val="F1a-Pile"/>
      <sheetName val="sheeet7"/>
      <sheetName val="A.O.R."/>
      <sheetName val="calcul"/>
      <sheetName val="list"/>
      <sheetName val="Analysis"/>
      <sheetName val="Codes"/>
      <sheetName val="PC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Input"/>
      <sheetName val="RESULT"/>
      <sheetName val="Break_Up _2_"/>
      <sheetName val="Break_Up"/>
      <sheetName val="EB_ OPTIONS"/>
      <sheetName val="DATA BACKUP"/>
      <sheetName val="Break_Up (bc)"/>
      <sheetName val="Break_Up (bc1)"/>
      <sheetName val="Break_Up (bc2)"/>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Certif"/>
      <sheetName val="Memo"/>
      <sheetName val="IT"/>
      <sheetName val="SD"/>
      <sheetName val="Royalty"/>
      <sheetName val="Abs."/>
      <sheetName val="BOQ "/>
      <sheetName val="Upto date qty."/>
      <sheetName val="Esc."/>
      <sheetName val="Stock"/>
      <sheetName val="Log book"/>
      <sheetName val="Mat-adv"/>
      <sheetName val="A1"/>
      <sheetName val="A2i"/>
      <sheetName val="A5"/>
      <sheetName val="A6a"/>
      <sheetName val="A6b"/>
      <sheetName val="B1 "/>
      <sheetName val="B2"/>
      <sheetName val="B8"/>
      <sheetName val="B9a"/>
      <sheetName val="C1"/>
      <sheetName val="C3"/>
      <sheetName val="C3&amp;4"/>
      <sheetName val="E1"/>
      <sheetName val="F1a-Pile"/>
      <sheetName val="F1a-PC"/>
      <sheetName val="f1a-Pier"/>
      <sheetName val="f1a-Pier cap"/>
      <sheetName val="F1a-seg"/>
      <sheetName val="F2-ii"/>
      <sheetName val="F2-iii"/>
      <sheetName val="I3C"/>
      <sheetName val="I3c Backup"/>
      <sheetName val="J"/>
      <sheetName val="Non-BOQ"/>
      <sheetName val="CalF"/>
      <sheetName val="GBW"/>
      <sheetName val="BOQ"/>
      <sheetName val="TBAL9697 -group wise  sdpl"/>
      <sheetName val="calcul"/>
      <sheetName val="AoR Finishing"/>
      <sheetName val="list"/>
      <sheetName val="一発シート"/>
      <sheetName val="STAFFSCHED "/>
      <sheetName val="PCS DATA"/>
      <sheetName val="Break_Up"/>
      <sheetName val="Break_Up (bc)"/>
      <sheetName val="Break_Up (bc1)"/>
      <sheetName val="Break_Up (bc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Hardware"/>
      <sheetName val="一発シート"/>
      <sheetName val="F1a-Pile"/>
    </sheetNames>
    <sheetDataSet>
      <sheetData sheetId="0"/>
      <sheetData sheetId="1" refreshError="1"/>
      <sheetData sheetId="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1 Rev.0"/>
      <sheetName val="NET Sum"/>
      <sheetName val="Net Sum breakdw"/>
      <sheetName val="Earthwork"/>
      <sheetName val="upa"/>
      <sheetName val="Fee Rate Summary"/>
      <sheetName val="jobhist"/>
      <sheetName val="S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concrete"/>
      <sheetName val="Shuttering"/>
      <sheetName val="beam-reinft-IIInd floor"/>
      <sheetName val="III floor beam addl"/>
      <sheetName val="beam-reinft-mezzanine floor"/>
      <sheetName val="slab-reinft(MEZZ)"/>
      <sheetName val="STEEL-SLAB (3flr) "/>
      <sheetName val="Slab-reinft(3flr)ADD."/>
      <sheetName val="slab-reinft(3flr)-ADD. (1)"/>
      <sheetName val="Indices-final"/>
      <sheetName val="beam_reinft_IIInd floor"/>
      <sheetName val="Design"/>
      <sheetName val="Boq"/>
      <sheetName val="Basic data"/>
      <sheetName val="GR.slab-reinft"/>
      <sheetName val="O2120-C-HP-01-BOQ-WORKINGS-Mezz"/>
      <sheetName val="PRECAST lightconc-II"/>
      <sheetName val="3. Elemental Summary"/>
      <sheetName val="9. Package split - Cost "/>
      <sheetName val="10. &amp; 11. Rate Code &amp; BQ"/>
      <sheetName val="Intro."/>
      <sheetName val="gen"/>
      <sheetName val="Vind-BtB"/>
      <sheetName val="fco"/>
      <sheetName val="一発シート"/>
      <sheetName val="no."/>
      <sheetName val="Hardware"/>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SUMMARY"/>
      <sheetName val="Data"/>
      <sheetName val="1 PH"/>
      <sheetName val="4 WAY"/>
      <sheetName val="6 WAY"/>
      <sheetName val="8 WAY"/>
      <sheetName val="12 WAY"/>
      <sheetName val="Sheet2"/>
    </sheetNames>
    <sheetDataSet>
      <sheetData sheetId="0" refreshError="1"/>
      <sheetData sheetId="1" refreshError="1">
        <row r="3">
          <cell r="B3" t="str">
            <v>WALL MOUNT LIGHT POINT</v>
          </cell>
        </row>
        <row r="4">
          <cell r="B4" t="str">
            <v>FLUORESCENT LIGHT POINT</v>
          </cell>
        </row>
        <row r="5">
          <cell r="B5" t="str">
            <v xml:space="preserve">WALL MOUNT LIGHT FIXTURE  </v>
          </cell>
        </row>
        <row r="6">
          <cell r="B6" t="str">
            <v>MIRROR LAMP</v>
          </cell>
        </row>
        <row r="7">
          <cell r="B7" t="str">
            <v>CEILING LIGHT FIXTURE</v>
          </cell>
        </row>
        <row r="8">
          <cell r="B8" t="str">
            <v>FOCUS LIGHT FIXTURE</v>
          </cell>
        </row>
        <row r="9">
          <cell r="B9" t="str">
            <v>1X150W STREET LIGHT FIXTURE</v>
          </cell>
        </row>
        <row r="10">
          <cell r="B10" t="str">
            <v>1200mmSWEEP CEILING FAN</v>
          </cell>
        </row>
        <row r="11">
          <cell r="B11" t="str">
            <v>900mm SWEEP CEILING FAN</v>
          </cell>
        </row>
        <row r="12">
          <cell r="B12" t="str">
            <v>300mm EXHAUST FAN</v>
          </cell>
        </row>
        <row r="13">
          <cell r="B13" t="str">
            <v>5A SOCKET WITH SWITCH</v>
          </cell>
        </row>
        <row r="14">
          <cell r="B14" t="str">
            <v>A/C POINT</v>
          </cell>
        </row>
        <row r="15">
          <cell r="B15" t="str">
            <v>5/15A SOCKET WITH SWITCH</v>
          </cell>
        </row>
        <row r="16">
          <cell r="B16" t="str">
            <v>CHANDELIER POINT</v>
          </cell>
        </row>
        <row r="17">
          <cell r="B17" t="str">
            <v>5A SOCKET WITH SWITCH(COMPUTER)</v>
          </cell>
        </row>
        <row r="18">
          <cell r="B18" t="str">
            <v xml:space="preserve">1X36W FLUORESCENT LIGHT FIXTURE </v>
          </cell>
        </row>
        <row r="19">
          <cell r="B19" t="str">
            <v>BULK HEADFIXTURE</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SUMMARY"/>
      <sheetName val="Data"/>
      <sheetName val="1 PH"/>
      <sheetName val="4 WAY"/>
      <sheetName val="6 WAY"/>
      <sheetName val="8 WAY"/>
      <sheetName val="12 WAY"/>
      <sheetName val="Sheet2"/>
    </sheetNames>
    <sheetDataSet>
      <sheetData sheetId="0" refreshError="1"/>
      <sheetData sheetId="1" refreshError="1">
        <row r="3">
          <cell r="B3" t="str">
            <v>WALL MOUNT LIGHT POINT</v>
          </cell>
        </row>
        <row r="4">
          <cell r="B4" t="str">
            <v>FLUORESCENT LIGHT POINT</v>
          </cell>
        </row>
        <row r="5">
          <cell r="B5" t="str">
            <v xml:space="preserve">WALL MOUNT LIGHT FIXTURE  </v>
          </cell>
        </row>
        <row r="6">
          <cell r="B6" t="str">
            <v>MIRROR LAMP</v>
          </cell>
        </row>
        <row r="7">
          <cell r="B7" t="str">
            <v>CEILING LIGHT FIXTURE</v>
          </cell>
        </row>
        <row r="8">
          <cell r="B8" t="str">
            <v>FOCUS LIGHT FIXTURE</v>
          </cell>
        </row>
        <row r="9">
          <cell r="B9" t="str">
            <v>1X150W STREET LIGHT FIXTURE</v>
          </cell>
        </row>
        <row r="10">
          <cell r="B10" t="str">
            <v>1200mmSWEEP CEILING FAN</v>
          </cell>
        </row>
        <row r="11">
          <cell r="B11" t="str">
            <v>900mm SWEEP CEILING FAN</v>
          </cell>
        </row>
        <row r="12">
          <cell r="B12" t="str">
            <v>300mm EXHAUST FAN</v>
          </cell>
        </row>
        <row r="13">
          <cell r="B13" t="str">
            <v>5A SOCKET WITH SWITCH</v>
          </cell>
        </row>
        <row r="14">
          <cell r="B14" t="str">
            <v>A/C POINT</v>
          </cell>
        </row>
        <row r="15">
          <cell r="B15" t="str">
            <v>5/15A SOCKET WITH SWITCH</v>
          </cell>
        </row>
        <row r="16">
          <cell r="B16" t="str">
            <v>CHANDELIER POINT</v>
          </cell>
        </row>
        <row r="17">
          <cell r="B17" t="str">
            <v>5A SOCKET WITH SWITCH(COMPUTER)</v>
          </cell>
        </row>
        <row r="18">
          <cell r="B18" t="str">
            <v xml:space="preserve">1X36W FLUORESCENT LIGHT FIXTURE </v>
          </cell>
        </row>
        <row r="19">
          <cell r="B19" t="str">
            <v>BULK HEADFIXTURE</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concrete"/>
      <sheetName val="shuttering"/>
      <sheetName val="foot-slab reinft"/>
      <sheetName val="beam-reinft"/>
      <sheetName val="col-reinft"/>
      <sheetName val="Indices"/>
      <sheetName val="Key-notes"/>
      <sheetName val="beam-reinft-IIInd floor"/>
      <sheetName val="F1a-Pile"/>
      <sheetName val="Boq"/>
      <sheetName val="sheeet7"/>
      <sheetName val="TBAL9697 -group wise  sdpl"/>
      <sheetName val="HEAD"/>
      <sheetName val="dBase"/>
      <sheetName val="Cal"/>
      <sheetName val="Data"/>
      <sheetName val="Voucher"/>
      <sheetName val="CFForecast detail"/>
      <sheetName val="NetBQ"/>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concrete"/>
      <sheetName val="shuttering"/>
      <sheetName val="foot-slab reinft"/>
      <sheetName val="beam-reinft"/>
      <sheetName val="col-reinft"/>
      <sheetName val="Indices"/>
      <sheetName val="Indices-External"/>
      <sheetName val="Indices-unconf"/>
      <sheetName val="Indices-combined"/>
      <sheetName val="Key-notes"/>
      <sheetName val="beam_reinft"/>
      <sheetName val="F1a-Pile"/>
      <sheetName val="TBAL9697 -group wise  sdpl"/>
      <sheetName val="Sheet1"/>
      <sheetName val="dBase"/>
      <sheetName val="재1"/>
      <sheetName val="GBW"/>
      <sheetName val="PROG_DATA"/>
      <sheetName val="beam-reinft-IIInd floor"/>
      <sheetName val="conc-foot-gradeslab"/>
      <sheetName val="NetBQ"/>
      <sheetName val="CFForecast detail"/>
      <sheetName val="Boq"/>
      <sheetName val="beam-reinft-machine rm"/>
    </sheetNames>
    <sheetDataSet>
      <sheetData sheetId="0"/>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SPT vs PHI"/>
      <sheetName val="labour coeff"/>
      <sheetName val="beam-reinft"/>
      <sheetName val="AoR Finishing"/>
      <sheetName val="Boq"/>
      <sheetName val="#REF!"/>
      <sheetName val="PRECAST lightconc-II"/>
      <sheetName val="concrete"/>
      <sheetName val="Design"/>
      <sheetName val="Shuttering Analysis"/>
      <sheetName val="General P+M"/>
      <sheetName val="Curing Analysis "/>
      <sheetName val="Concrete P+M ( RMC )"/>
      <sheetName val="P+M ( SMC )"/>
      <sheetName val="P+M -EW"/>
      <sheetName val="GBW"/>
      <sheetName val="Boq-Con"/>
      <sheetName val="Break up Sheet"/>
      <sheetName val="Manmaster"/>
      <sheetName val="Summary of P &amp; M"/>
      <sheetName val="HEAD"/>
      <sheetName val="sheeet7"/>
      <sheetName val="p&amp;m"/>
      <sheetName val="F1a-Pile"/>
      <sheetName val="재1"/>
      <sheetName val="Sheet2"/>
      <sheetName val="CFForecast detail"/>
      <sheetName val="Report"/>
      <sheetName val="#REF"/>
      <sheetName val="dBase"/>
      <sheetName val="col-reinft1"/>
      <sheetName val="beam-reinft-IIInd floor"/>
      <sheetName val="電気設備表"/>
      <sheetName val="SITE OVERH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SCRUTINY"/>
      <sheetName val="EMD"/>
      <sheetName val="CO-EFF."/>
      <sheetName val="comperitive"/>
      <sheetName val="sheet3"/>
      <sheetName val="Sheet4"/>
      <sheetName val="Sheet5"/>
      <sheetName val="Sheet6"/>
      <sheetName val="sheeet7"/>
      <sheetName val="TBAL9697 -group wise  sdpl"/>
      <sheetName val="beam-reinft"/>
      <sheetName val="HEAD"/>
      <sheetName val="Boq"/>
      <sheetName val="Rate Analysis"/>
      <sheetName val="concrete"/>
      <sheetName val="F1a-Pile"/>
      <sheetName val="재1"/>
      <sheetName val="AoR Finishing"/>
      <sheetName val="Sheet1"/>
      <sheetName val="GBW"/>
      <sheetName val="A.O.R r1Str"/>
      <sheetName val="A.O.R r1"/>
      <sheetName val="A.O.R (2)"/>
      <sheetName val="A.O.R"/>
      <sheetName val="Measurment"/>
      <sheetName val="BOQ Distribution"/>
      <sheetName val="dBase"/>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Cal (2)"/>
      <sheetName val="Sheet2"/>
      <sheetName val="Sheet1"/>
      <sheetName val="Data"/>
      <sheetName val="Voucher"/>
      <sheetName val="Cal"/>
      <sheetName val="sheeet7"/>
      <sheetName val="TBAL9697 -group wise  sdpl"/>
      <sheetName val="beam-reinft"/>
      <sheetName val="HEAD"/>
      <sheetName val="concrete"/>
      <sheetName val="p&amp;m"/>
      <sheetName val="재1"/>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Cal (2)"/>
      <sheetName val="Sheet2"/>
      <sheetName val="Sheet1"/>
      <sheetName val="Data"/>
      <sheetName val="Voucher"/>
      <sheetName val="Cal"/>
      <sheetName val="Sump_cal"/>
      <sheetName val="sheeet7"/>
      <sheetName val="TBAL9697 -group wise  sdpl"/>
      <sheetName val="Boq"/>
      <sheetName val="HEAD"/>
      <sheetName val="beam-reinft"/>
      <sheetName val="labour rat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conc-foot-gradeslab"/>
      <sheetName val="conc-lift-shear-retwall"/>
      <sheetName val="shuttering-footing"/>
      <sheetName val="shutter-lift-shear-retwall"/>
      <sheetName val="Chart1"/>
      <sheetName val="foot-slab reinft"/>
      <sheetName val="Indices"/>
      <sheetName val="Indices-final"/>
      <sheetName val="Timesheet"/>
      <sheetName val="TBAL9697 -group wise  sdpl"/>
      <sheetName val="beam-reinft"/>
      <sheetName val="gen"/>
      <sheetName val="Conc"/>
      <sheetName val="concrete"/>
      <sheetName val="预算"/>
      <sheetName val="labour 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PLC BOM"/>
      <sheetName val="comp"/>
      <sheetName val="estimate "/>
      <sheetName val="Costing-blk-B"/>
      <sheetName val="Costing-blk-C"/>
      <sheetName val="Costing-blk-HVAC"/>
      <sheetName val="Costing-blk-UBGO"/>
      <sheetName val="Costing-blk-A"/>
      <sheetName val="moc"/>
      <sheetName val=" modules"/>
      <sheetName val="dimensions"/>
      <sheetName val="HT Panel (1 vcb)"/>
      <sheetName val="HT Panel (3 vcbs)"/>
      <sheetName val="HT Panel (part-II)"/>
      <sheetName val="ATS Pri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cubes_M20"/>
      <sheetName val="cubes_M25 Oct-03"/>
      <sheetName val="cubes_M25 Nov-03"/>
      <sheetName val="TBAL9697 -group wise  sdpl"/>
      <sheetName val="Boq"/>
      <sheetName val="CABLE DATA"/>
      <sheetName val="IO LIST"/>
      <sheetName val="Break up Sheet"/>
      <sheetName val="Rate analysis"/>
      <sheetName val="RECAPITULATION"/>
      <sheetName val="COLUMN"/>
      <sheetName val="Pile cap"/>
      <sheetName val="Basement Budget"/>
      <sheetName val="Indic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form 6"/>
      <sheetName val="form 7"/>
      <sheetName val="FORM6"/>
      <sheetName val="FORM7"/>
      <sheetName val="labour coeff"/>
      <sheetName val="Voucher"/>
      <sheetName val="Cal"/>
      <sheetName val="Boq"/>
      <sheetName val="Data"/>
      <sheetName val="IO LIST"/>
      <sheetName val="Boq - Flats"/>
      <sheetName val="월선수금"/>
      <sheetName val="Variables_x"/>
      <sheetName val="Rate Analysis"/>
      <sheetName val="Basement Budget"/>
      <sheetName val="Database"/>
      <sheetName val="schedule nos"/>
      <sheetName val="cubes_M20"/>
      <sheetName val="Indices"/>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FORM7"/>
      <sheetName val="IO LIST"/>
      <sheetName val="p&amp;m"/>
      <sheetName val="RCC,Ret. Wall"/>
      <sheetName val="AOR"/>
      <sheetName val="Material Rates"/>
      <sheetName val="analysis"/>
      <sheetName val="GBW"/>
      <sheetName val="Basement Budget"/>
      <sheetName val="Vehicles"/>
      <sheetName val="Fill this out first..."/>
      <sheetName val="Site Dev BOQ"/>
      <sheetName val="BOQ_Direct_selling cost"/>
      <sheetName val="VCH-SLC"/>
      <sheetName val="Sheet3"/>
      <sheetName val="Supplier"/>
      <sheetName val="DETAILED  BOQ"/>
      <sheetName val="電気設備表"/>
      <sheetName val="water prop."/>
      <sheetName val="NPV"/>
      <sheetName val="Headings"/>
      <sheetName val="labour coeff"/>
      <sheetName val="Labour productivity"/>
      <sheetName val="BOQ (2)"/>
      <sheetName val="Estimation"/>
      <sheetName val="boq"/>
      <sheetName val="INDEX"/>
      <sheetName val="AREAS"/>
      <sheetName val="Sheet2"/>
      <sheetName val="월선수금"/>
      <sheetName val="Construction"/>
      <sheetName val="Database"/>
      <sheetName val="SCHEDULE"/>
      <sheetName val="schedule nos"/>
      <sheetName val="Costing"/>
      <sheetName val="Variables_x"/>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 val="Boq"/>
    </sheetNames>
    <sheetDataSet>
      <sheetData sheetId="0"/>
      <sheetData sheetId="1"/>
      <sheetData sheetId="2"/>
      <sheetData sheetId="3"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Zone-1"/>
      <sheetName val="Zone-2"/>
      <sheetName val="Zone-3"/>
      <sheetName val="Zone-3 (alt)"/>
      <sheetName val="Abstract"/>
      <sheetName val="PS1"/>
      <sheetName val="Sheet1"/>
      <sheetName val="Loads"/>
      <sheetName val="IO LIST"/>
      <sheetName val="Indices"/>
      <sheetName val="DetEst"/>
      <sheetName val="labour"/>
      <sheetName val="FORM7"/>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5.xml><?xml version="1.0" encoding="utf-8"?>
<externalLink xmlns="http://schemas.openxmlformats.org/spreadsheetml/2006/main">
  <externalBook xmlns:r="http://schemas.openxmlformats.org/officeDocument/2006/relationships" r:id="rId1">
    <sheetNames>
      <sheetName val="JAN25"/>
      <sheetName val="Sheet4"/>
      <sheetName val="PLAN_FEB97"/>
      <sheetName val="LOCAL RATES"/>
      <sheetName val="Cal"/>
      <sheetName val="Data"/>
      <sheetName val="Erection grider"/>
      <sheetName val="Voucher"/>
      <sheetName val="doq-10"/>
      <sheetName val="BHANDUP"/>
      <sheetName val="준검 내역서"/>
      <sheetName val="Rates_PVC"/>
      <sheetName val="S2groupcode"/>
      <sheetName val="Index"/>
      <sheetName val="Headings"/>
      <sheetName val="Labour"/>
      <sheetName val="Material"/>
      <sheetName val="Sump_cal"/>
      <sheetName val="TBAL9697 -group wise  sdpl"/>
      <sheetName val="no."/>
      <sheetName val="SB - reinf"/>
      <sheetName val="준검_내역서"/>
      <sheetName val="LOCAL_RATES"/>
      <sheetName val="Erection_grider"/>
      <sheetName val="준검_내역서1"/>
      <sheetName val="LOCAL_RATES1"/>
      <sheetName val="Erection_grider1"/>
      <sheetName val="BASIS -DEC 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6.xml><?xml version="1.0" encoding="utf-8"?>
<externalLink xmlns="http://schemas.openxmlformats.org/spreadsheetml/2006/main">
  <externalBook xmlns:r="http://schemas.openxmlformats.org/officeDocument/2006/relationships" r:id="rId1">
    <sheetNames>
      <sheetName val="Sheet4"/>
      <sheetName val="test"/>
      <sheetName val="Sheet1"/>
      <sheetName val="Sheet2"/>
      <sheetName val="dBase"/>
      <sheetName val="Sheet3"/>
      <sheetName val="Intro."/>
      <sheetName val="PS1"/>
      <sheetName val="PLAN_FEB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7.xml><?xml version="1.0" encoding="utf-8"?>
<externalLink xmlns="http://schemas.openxmlformats.org/spreadsheetml/2006/main">
  <externalBook xmlns:r="http://schemas.openxmlformats.org/officeDocument/2006/relationships" r:id="rId1">
    <sheetNames>
      <sheetName val="Sheet4"/>
      <sheetName val="test"/>
      <sheetName val="Sheet1"/>
      <sheetName val="Sheet2"/>
      <sheetName val="dBase"/>
      <sheetName val="Sheet3"/>
      <sheetName val="Intro."/>
      <sheetName val="PS1"/>
      <sheetName val="PLAN_FEB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8.xml><?xml version="1.0" encoding="utf-8"?>
<externalLink xmlns="http://schemas.openxmlformats.org/spreadsheetml/2006/main">
  <externalBook xmlns:r="http://schemas.openxmlformats.org/officeDocument/2006/relationships" r:id="rId1">
    <sheetNames>
      <sheetName val="Lead"/>
      <sheetName val="Data for UGD"/>
      <sheetName val="sewer data modi"/>
      <sheetName val="sewer data"/>
      <sheetName val="Data"/>
      <sheetName val="Data for UGD (2)"/>
      <sheetName val="Mahendra hills"/>
      <sheetName val="FORM7"/>
      <sheetName val="Design"/>
      <sheetName val="IO LIST"/>
      <sheetName val="Codes"/>
      <sheetName val="p&amp;m"/>
      <sheetName val="dBase"/>
      <sheetName val="Floor Beam &amp; Slab"/>
      <sheetName val="P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9.xml><?xml version="1.0" encoding="utf-8"?>
<externalLink xmlns="http://schemas.openxmlformats.org/spreadsheetml/2006/main">
  <externalBook xmlns:r="http://schemas.openxmlformats.org/officeDocument/2006/relationships" r:id="rId1">
    <sheetNames>
      <sheetName val="Lead"/>
      <sheetName val="Data"/>
      <sheetName val="Design"/>
      <sheetName val="FORM7"/>
      <sheetName val="IO LIST"/>
      <sheetName val="#REF"/>
      <sheetName val="Basement Budget"/>
      <sheetName val="PROG_DATA"/>
      <sheetName val="BASIS -DEC 08"/>
      <sheetName val="Costing"/>
      <sheetName val="RES-PLANNING"/>
      <sheetName val="Intro"/>
      <sheetName val="Fill this out first..."/>
      <sheetName val="Extra Item"/>
      <sheetName val="Database"/>
      <sheetName val="SCHEDULE"/>
      <sheetName val="schedule nos"/>
      <sheetName val="Pay_Sep06"/>
      <sheetName val="INPUT SHEET"/>
      <sheetName val="Site Dev BOQ"/>
      <sheetName val="Voucher"/>
      <sheetName val="horizontal"/>
      <sheetName val="Financials"/>
      <sheetName val="Cash Flow Working"/>
      <sheetName val="loadcal"/>
      <sheetName val="Break up Sheet"/>
      <sheetName val="Headings"/>
      <sheetName val="Assumptions"/>
      <sheetName val="Publicbuilding"/>
      <sheetName val="leads"/>
      <sheetName val="Labour"/>
      <sheetName val="Material"/>
      <sheetName val="Plant &amp;  Machinery"/>
      <sheetName val="labour coeff"/>
      <sheetName val="Sheet2"/>
      <sheetName val="CFForecast detail"/>
      <sheetName val="Data sheet"/>
      <sheetName val="analysis"/>
      <sheetName val="Timesheet"/>
      <sheetName val="電気設備表"/>
      <sheetName val="lmp &amp; salse"/>
      <sheetName val="Floor Beam &amp; 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oncrete"/>
      <sheetName val="beam-slab shuttering"/>
      <sheetName val="col-shuttering"/>
      <sheetName val="beam-reinft"/>
      <sheetName val="slab-reinft1"/>
      <sheetName val="Slab-reinft2"/>
      <sheetName val="col-reinft"/>
      <sheetName val="col-reinft1"/>
      <sheetName val="summary"/>
      <sheetName val="Indices"/>
      <sheetName val="Sheet1"/>
      <sheetName val="beam id's"/>
      <sheetName val="slab barnos"/>
      <sheetName val="NET Sum"/>
      <sheetName val="SOR"/>
      <sheetName val="PRECAST lightconc-II"/>
      <sheetName val="PRECAST-conc-II"/>
      <sheetName val="Miscellaneous-civil"/>
      <sheetName val="basic"/>
      <sheetName val="GN-ST-10"/>
      <sheetName val="Quantity Schedule"/>
      <sheetName val="Revenue  Schedule "/>
      <sheetName val="Balance works - Direct Cost"/>
      <sheetName val="Balance works - Indirect Cost"/>
      <sheetName val="Cashflows"/>
      <sheetName val="Fund Plan"/>
      <sheetName val="Bill of Resources"/>
      <sheetName val="DC"/>
      <sheetName val="Expenditure plan"/>
      <sheetName val="PRECAST lightconc_II"/>
      <sheetName val="Friends"/>
      <sheetName val="College Details"/>
      <sheetName val="Personal "/>
      <sheetName val="Office"/>
      <sheetName val="CF-det"/>
      <sheetName val="Cleaning &amp; Grubbing"/>
      <sheetName val="GN_ST_10"/>
      <sheetName val="ORDER BOOKING"/>
      <sheetName val="IHC"/>
      <sheetName val="bhilai"/>
      <sheetName val="jidal dam"/>
      <sheetName val="delo"/>
      <sheetName val="fran temp"/>
      <sheetName val="gagan"/>
      <sheetName val="hsbc"/>
      <sheetName val="jeedi"/>
      <sheetName val="kona swit"/>
      <sheetName val="template (8)"/>
      <sheetName val="template (9)"/>
      <sheetName val="Design"/>
      <sheetName val="OVER HEADS"/>
      <sheetName val="Cover Sheet"/>
      <sheetName val="BOQ REV A"/>
      <sheetName val="BOQ"/>
      <sheetName val="PTB (IO)"/>
      <sheetName val="BMS "/>
      <sheetName val="TBAL9697 -group wise  sdpl"/>
      <sheetName val="SPT vs PHI"/>
      <sheetName val="PIPING"/>
      <sheetName val="八幡"/>
      <sheetName val="#REF!"/>
      <sheetName val="Boq Block A"/>
      <sheetName val="300x500"/>
      <sheetName val="scurve calc (2)"/>
      <sheetName val="Direct cost shed A-2 "/>
      <sheetName val="PRECAST_lightconc-II"/>
      <sheetName val="jidal_dam"/>
      <sheetName val="fran_temp"/>
      <sheetName val="kona_swit"/>
      <sheetName val="template_(8)"/>
      <sheetName val="template_(9)"/>
      <sheetName val="PRECAST_lightconc_II"/>
      <sheetName val="College_Details"/>
      <sheetName val="Personal_"/>
      <sheetName val="Cleaning_&amp;_Grubbing"/>
      <sheetName val="SITE OVERHEADS"/>
      <sheetName val="labour coeff"/>
      <sheetName val="Site Dev BOQ"/>
      <sheetName val="Sheet3"/>
      <sheetName val="VCH-SLC"/>
      <sheetName val="Supplier"/>
      <sheetName val="SILICATE"/>
      <sheetName val="Costing Upto Mar'11 (2)"/>
      <sheetName val="Tender Summary"/>
      <sheetName val="A"/>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beam-reinft-IIInd floor"/>
      <sheetName val="OVER_HEADS"/>
      <sheetName val="Cover_Sheet"/>
      <sheetName val="BOQ_REV_A"/>
      <sheetName val="PTB_(IO)"/>
      <sheetName val="BMS_"/>
      <sheetName val="SPT_vs_PHI"/>
      <sheetName val="TBAL9697_-group_wise__sdpl"/>
      <sheetName val="dBase"/>
      <sheetName val="zone-8"/>
      <sheetName val="MHNO_LEV"/>
      <sheetName val="M-Book for Conc"/>
      <sheetName val="M-Book for FW"/>
      <sheetName val="upa"/>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p&amp;m"/>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Civil Boq"/>
      <sheetName val="factors"/>
      <sheetName val="22.12.2011"/>
      <sheetName val="BOQ (2)"/>
      <sheetName val="Meas.-Hotel Part"/>
      <sheetName val="2gii"/>
      <sheetName val="Headings"/>
      <sheetName val="List"/>
      <sheetName val="BOQ_Direct_selling cost"/>
      <sheetName val="Fill this out first..."/>
      <sheetName val="Project Details.."/>
      <sheetName val="Civil Works"/>
      <sheetName val="Cashflow projection"/>
      <sheetName val="inWords"/>
      <sheetName val="Fee Rate Summary"/>
      <sheetName val="Sheet2"/>
      <sheetName val="BS8007"/>
      <sheetName val="Contract Night Staff"/>
      <sheetName val="Contract Day Staff"/>
      <sheetName val="Day Shift"/>
      <sheetName val="Night Shift"/>
      <sheetName val="Detail"/>
      <sheetName val="Data"/>
      <sheetName val="Lead"/>
      <sheetName val=" 09.07.10 M顅ᎆ뤀ᨇ԰_x0000_缀_x0000_"/>
      <sheetName val="Ave.wtd.rates"/>
      <sheetName val="Material "/>
      <sheetName val="Labour &amp; Plant"/>
      <sheetName val="PA- Consutant "/>
      <sheetName val="final abstract"/>
      <sheetName val="Intake"/>
      <sheetName val="TBAL9697 _group wise  sdpl"/>
      <sheetName val="IO List"/>
      <sheetName val="SP Break Up"/>
      <sheetName val="dlvoid"/>
      <sheetName val="St.co.91.5lvl"/>
      <sheetName val="Item- Compact"/>
      <sheetName val="공장별판관비배부"/>
      <sheetName val="Build-up"/>
      <sheetName val="temp"/>
      <sheetName val="GBW"/>
      <sheetName val="Staff Acco."/>
      <sheetName val="UNIT"/>
      <sheetName val="CCY"/>
      <sheetName val="HVAC"/>
      <sheetName val="Costing"/>
      <sheetName val="Meas__Hotel Part"/>
      <sheetName val=" 09.07.10 M顅ᎆ뤀ᨇ԰?缀?"/>
      <sheetName val=" &#10;¢_x0002_&amp;_x0000__x0000__x0000_ú5#_x0000__x0000__x0000__x0000__x0000__x0000__x0000_"/>
      <sheetName val=""/>
      <sheetName val="AOR"/>
      <sheetName val="Analy_7-10"/>
      <sheetName val="INDIGINEOUS ITEMS "/>
      <sheetName val="HEAD"/>
      <sheetName val="MN T.B."/>
      <sheetName val="INPUT SHEET"/>
      <sheetName val="PRECAST_lightconc-II2"/>
      <sheetName val="PRECAST_lightconc_II2"/>
      <sheetName val="College_Details2"/>
      <sheetName val="Personal_2"/>
      <sheetName val="Cleaning_&amp;_Grubbing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SPT_vs_PHI2"/>
      <sheetName val="Quantity_Schedule1"/>
      <sheetName val="Revenue__Schedule_1"/>
      <sheetName val="Balance_works_-_Direct_Cost1"/>
      <sheetName val="Balance_works_-_Indirect_Cost1"/>
      <sheetName val="Fund_Plan1"/>
      <sheetName val="Bill_of_Resources1"/>
      <sheetName val="Site_Dev_BOQ"/>
      <sheetName val="labour_coeff"/>
      <sheetName val="SITE_OVERHEADS"/>
      <sheetName val="Costing_Upto_Mar'11_(2)"/>
      <sheetName val="Tender_Summary"/>
      <sheetName val="Meas_-Hotel_Part"/>
      <sheetName val="beam-reinft-IIInd_floor"/>
      <sheetName val="TAX_BILLS"/>
      <sheetName val="CASH_BILLS"/>
      <sheetName val="LABOUR_BILLS"/>
      <sheetName val="puch_order"/>
      <sheetName val="Sheet1_(2)"/>
      <sheetName val="Expenditure_plan"/>
      <sheetName val="ORDER_BOOKING"/>
      <sheetName val="M-Book_for_Conc"/>
      <sheetName val="M-Book_for_FW"/>
      <sheetName val="22_12_2011"/>
      <sheetName val="BOQ_(2)"/>
      <sheetName val="Boq_Block_A"/>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_20_07_10_CIVIL"/>
      <sheetName val="_20_07_10_MECH-FAB"/>
      <sheetName val="_20_07_10_MECH-TANK"/>
      <sheetName val="_19_07_10_N_SHIFT_MECH-FAB"/>
      <sheetName val="DataInput"/>
      <sheetName val="master"/>
      <sheetName val="DataInput-1"/>
      <sheetName val="DI Rate Analysis"/>
      <sheetName val="Economic RisingMain  Ph-I"/>
      <sheetName val="Assumptions"/>
      <sheetName val="Sales &amp; Prod"/>
      <sheetName val="section"/>
      <sheetName val="_19_07_10_N_SHIFT_MECH-TANK"/>
      <sheetName val="Labour productivity"/>
      <sheetName val="Rate Analysis"/>
      <sheetName val="Rate analysis- BOQ 1 "/>
      <sheetName val="Cost Index"/>
      <sheetName val="cash in flow Summary JV "/>
      <sheetName val="water prop."/>
      <sheetName val="GR.slab-reinft"/>
      <sheetName val="box-12"/>
      <sheetName val="08.07.10헾】_x0005__x0000__x0000__x0000__x0000_ꎋ"/>
      <sheetName val="Voucher"/>
      <sheetName val="Prelims Breakup"/>
      <sheetName val="Prelims_Breakup"/>
      <sheetName val="F20 Risk Analysis"/>
      <sheetName val="Change Order Log"/>
      <sheetName val="lookups"/>
      <sheetName val="ref"/>
      <sheetName val="Bin"/>
      <sheetName val="2000 MOR"/>
      <sheetName val="Driveway Beams"/>
      <sheetName val="PRELIM5"/>
      <sheetName val="gen"/>
      <sheetName val="Structure Bills Qty"/>
      <sheetName val="1.Civil-RA"/>
      <sheetName val="DEINKING(ANNEX 1)"/>
      <sheetName val="Labour"/>
      <sheetName val="Admin"/>
      <sheetName val="COLUMN"/>
      <sheetName val="3cd Annexure"/>
      <sheetName val="08.07.10헾】_x0005_????ꎋ"/>
      <sheetName val="Name List"/>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L+M"/>
      <sheetName val="14.07.10 CIVIL W ["/>
      <sheetName val="Cover"/>
      <sheetName val="Data Sheet"/>
      <sheetName val="sheeet7"/>
      <sheetName val="14.07.10@^\_x0001_&amp;_x0000__x0000__x0000__x0012_8"/>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_17_07_10_N_SHIFT_MECH-TANK"/>
      <sheetName val="_17_07_10_RS_&amp;_SECURITY"/>
      <sheetName val="17_07_10_CIVIL_WET"/>
      <sheetName val="_17_07_10_CIVIL"/>
      <sheetName val="_17_07_10_MECH-FAB"/>
      <sheetName val="_17_07_10_MECH-TANK"/>
      <sheetName val="COST"/>
      <sheetName val="x-items"/>
      <sheetName val="_16_07_10_N_SHIFT_MECH-FAB"/>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Theo Cons-June'10"/>
      <sheetName val="CABLERET"/>
      <sheetName val="  ¢_x0002_&amp;_x0000__x0000__x0000_ú5#_x0000__x0000__x0000__x0000__x0000__x0000__x0000_"/>
      <sheetName val="B3-B4-B5-B6"/>
      <sheetName val="Phase 1"/>
      <sheetName val=" &#10;¢_x0002_&amp;???ú5#???????"/>
      <sheetName val="Fin. Assumpt. - Sensitivities"/>
      <sheetName val="Bill 1"/>
      <sheetName val="Bill 2"/>
      <sheetName val="Bill 3"/>
      <sheetName val="Bill 4"/>
      <sheetName val="Bill 5"/>
      <sheetName val="Bill 6"/>
      <sheetName val="Bill 7"/>
      <sheetName val=" 09.07.10 M顅ᎆ뤀ᨇ԰"/>
      <sheetName val=" 09.07.10 M顅ᎆ뤀ᨇ԰_缀_"/>
      <sheetName val="Assumption Inputs"/>
      <sheetName val="Pacakges split"/>
      <sheetName val="estm_mech"/>
      <sheetName val="AutoOpen Stub Data"/>
      <sheetName val="run"/>
      <sheetName val="Background"/>
      <sheetName val="Code"/>
      <sheetName val="Wire"/>
      <sheetName val="Eqpmnt Plng"/>
      <sheetName val="Debits as on 12.04.08"/>
      <sheetName val="T-P1, FINISHES WORKING "/>
      <sheetName val="Assumption &amp; Exclusion"/>
      <sheetName val="querries"/>
      <sheetName val="SUMMARY(E)"/>
      <sheetName val="wordsdata"/>
      <sheetName val="analysis"/>
      <sheetName val="STAFFSCHED "/>
      <sheetName val="RA-markate"/>
      <sheetName val="Makro1"/>
      <sheetName val="LABOUR RATE"/>
      <sheetName val="Material Rate"/>
      <sheetName val="ACS(1)"/>
      <sheetName val="FAS-C(4)"/>
      <sheetName val="CCTV(old)"/>
      <sheetName val="Final"/>
      <sheetName val="Summary-Price_New"/>
      <sheetName val="AN-2K"/>
      <sheetName val="Switch V16"/>
      <sheetName val="External Doors"/>
      <sheetName val="T&amp;M"/>
      <sheetName val="DI_Rate_Analysis"/>
      <sheetName val="Economic_RisingMain__Ph-I"/>
      <sheetName val=" bus bay"/>
      <sheetName val="doq-10"/>
      <sheetName val="doq-I"/>
      <sheetName val="doq 4"/>
      <sheetName val="doq 2"/>
      <sheetName val="Grade Slab -1"/>
      <sheetName val="Grade Slab -2"/>
      <sheetName val="Grade slab-3"/>
      <sheetName val="Grade slab -4"/>
      <sheetName val="Grade slab -5"/>
      <sheetName val="Grade slab -6"/>
      <sheetName val="InputPO_Del"/>
      <sheetName val="pol-60"/>
      <sheetName val="Cal"/>
      <sheetName val="FitOutConfCentre"/>
      <sheetName val="India F&amp;S Template"/>
      <sheetName val="Cat A Change Control"/>
      <sheetName val="Factor Sheet"/>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  ¢_x0002_&amp;???ú5#???????"/>
      <sheetName val="AFAS "/>
      <sheetName val="RDS &amp; WLD"/>
      <sheetName val="PA System"/>
      <sheetName val="ACC"/>
      <sheetName val="CCTV"/>
      <sheetName val="Server &amp; PAC Room"/>
      <sheetName val="BMS"/>
      <sheetName val="HVAC BOQ"/>
      <sheetName val="08.07.10헾】_x0005_????菈_x0013_"/>
      <sheetName val="detail'02"/>
      <sheetName val="Invoice Tracker"/>
      <sheetName val="Variables"/>
      <sheetName val="Index"/>
      <sheetName val="Measurements"/>
      <sheetName val="Tables"/>
      <sheetName val="Flooring"/>
      <sheetName val="Ceilings"/>
      <sheetName val="ACAD Finishes"/>
      <sheetName val="Site Details"/>
      <sheetName val="Chair"/>
      <sheetName val="Site Area Statement"/>
      <sheetName val="Doors"/>
      <sheetName val="Estimate"/>
      <sheetName val="BOQ LT"/>
      <sheetName val="_21_07_10_N_SHIFT_MECH-FA"/>
      <sheetName val="Report"/>
      <sheetName val="_x0000__x0000__x0000__x0000__x0000__x0000__x0000_Ü5)_x0000__x001e_bÝ/_x0012_8)_x0000__x0012_6)_x0000_&amp;_x0000__x0000__x0000_&amp;_x0000__x0000__x0000_"/>
      <sheetName val="_x0001__x0000__x0000__x0000_"/>
      <sheetName val="Summary WG"/>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BOQ_Direct_selling_cost"/>
      <sheetName val="Meas_-Hotel_Part1"/>
      <sheetName val="scurve_calc_(2)"/>
      <sheetName val="Contract_Night_Staff"/>
      <sheetName val="Contract_Day_Staff"/>
      <sheetName val="Day_Shift"/>
      <sheetName val="Night_Shift"/>
      <sheetName val="Direct_cost_shed_A-2_"/>
      <sheetName val="Fee_Rate_Summary"/>
      <sheetName val="Civil_Boq"/>
      <sheetName val="22_12_20111"/>
      <sheetName val="BOQ_(2)1"/>
      <sheetName val="INPUT_SHEET"/>
      <sheetName val="final_abstract"/>
      <sheetName val="Meas__Hotel_Part"/>
      <sheetName val="Ave_wtd_rates"/>
      <sheetName val="Material_"/>
      <sheetName val="Labour_&amp;_Plant"/>
      <sheetName val="Cashflow_projection"/>
      <sheetName val="_09_07_10_M顅ᎆ뤀ᨇ԰缀"/>
      <sheetName val="Item-_Compact"/>
      <sheetName val="St_co_91_5lvl"/>
      <sheetName val="Fill_this_out_first___"/>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DI_Rate_Analysis1"/>
      <sheetName val="Economic_RisingMain__Ph-I1"/>
      <sheetName val="Civil_Works"/>
      <sheetName val="TBAL9697__group_wise__sdpl"/>
      <sheetName val="MN_T_B_"/>
      <sheetName val="SP_Break_Up"/>
      <sheetName val="Labour_productivity"/>
      <sheetName val="_09_07_10_M顅ᎆ뤀ᨇ԰?缀?"/>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10;¢&amp;ú5#"/>
      <sheetName val="Driveway_Beams"/>
      <sheetName val="Rate_Analysis"/>
      <sheetName val="T-P1,_FINISHES_WORKING_"/>
      <sheetName val="Assumption_&amp;_Exclusion"/>
      <sheetName val="_&#10;¢&amp;???ú5#???????"/>
      <sheetName val="Phase_1"/>
      <sheetName val="Pacakges_split"/>
      <sheetName val="Assumption_Inputs"/>
      <sheetName val="DEINKING(ANNEX_1)"/>
      <sheetName val="Eqpmnt_Plng"/>
      <sheetName val="LABOUR_RATE"/>
      <sheetName val="Material_Rate"/>
      <sheetName val="Switch_V16"/>
      <sheetName val="External_Doors"/>
      <sheetName val="Grade_Slab_-1"/>
      <sheetName val="Grade_Slab_-2"/>
      <sheetName val="Grade_slab-3"/>
      <sheetName val="Grade_slab_-4"/>
      <sheetName val="Grade_slab_-5"/>
      <sheetName val="Grade_slab_-6"/>
      <sheetName val="Factor_Sheet"/>
      <sheetName val="AutoOpen_Stub_Data"/>
      <sheetName val="Cat_A_Change_Control"/>
      <sheetName val="RCC,Ret. Wall"/>
      <sheetName val="B3-B4-B5-_x0006__x0000_"/>
      <sheetName val="_x0000__x0017__x0000__x0012__x0000__x000f__x0000__x0012__x0000__x0013__x0000_&#10;_x0000__x001a__x0000__x001b__x0000__x0017__x0000_"/>
      <sheetName val="CON"/>
      <sheetName val="환율"/>
      <sheetName val="08.07.10헾】_x0005_??_x0005__x0000__x0000_"/>
      <sheetName val="08.07.10헾】_x0005_??壀&quot;夌&quot;"/>
      <sheetName val="DSLP"/>
      <sheetName val="Load Details(B2)"/>
      <sheetName val="Works - Quote Sheet"/>
      <sheetName val="girder"/>
      <sheetName val="Rocker"/>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Cost Basis"/>
      <sheetName val="segment_topsheet"/>
      <sheetName val="d-safe specs"/>
      <sheetName val="08.07.10헾】_x0005__x0000__x0000"/>
      <sheetName val="08.07.10헾】_x0005_____ꎋ"/>
      <sheetName val="FT-05-02IsoBOM"/>
      <sheetName val="Deduction of assets"/>
      <sheetName val="08.07.10헾】_x0005_"/>
      <sheetName val="目录"/>
      <sheetName val="F&amp;B"/>
      <sheetName val="#REF"/>
      <sheetName val="Kitchen"/>
      <sheetName val="08.07.10헾】_x0005_??헾⿂_x0005__x0000_"/>
      <sheetName val="08.07.10헾】_x0005_????懇"/>
      <sheetName val="08.07.10헾】_x0005_??ꮸ⽚_x0005__x0000_"/>
      <sheetName val="08.07.10헾】_x0005_??丵⼽_x0005__x0000_"/>
      <sheetName val="08.07.10헾】_x0005_????癠'"/>
      <sheetName val="Main-Material"/>
      <sheetName val="Form-B"/>
      <sheetName val="Blr hire"/>
      <sheetName val="PRECAST-conc-AI"/>
      <sheetName val="Miscellan%ous_x0008_civil"/>
      <sheetName val="b`sic"/>
      <sheetName val="PRECAST lig(tconc_II"/>
      <sheetName val="Sqn_Abs"/>
      <sheetName val="calcul"/>
      <sheetName val="DP"/>
      <sheetName val="Income Statement"/>
      <sheetName val=" _¢_x0002_&amp;"/>
      <sheetName val=" _¢_x0002_&amp;___ú5#_______"/>
      <sheetName val="B'Sheet"/>
      <sheetName val="Asmp"/>
      <sheetName val="currency"/>
      <sheetName val="est"/>
      <sheetName val="MG"/>
      <sheetName val="VALIDATIONS"/>
      <sheetName val="Mat_Cost"/>
      <sheetName val="VF Full Recon"/>
      <sheetName val="LMP"/>
      <sheetName val="sc-mar2000"/>
      <sheetName val="PITP3 COPY"/>
      <sheetName val="Meas."/>
      <sheetName val="BLOCK-A (MEA.SHEET)"/>
      <sheetName val="Expenses Actual Vs. Budgeted"/>
      <sheetName val="Col up to plinth"/>
      <sheetName val="Footing"/>
      <sheetName val="Inputs"/>
      <sheetName val="MASTER_RATE ANALYSIS"/>
      <sheetName val="Intro."/>
      <sheetName val="Gate 2"/>
      <sheetName val="Lab"/>
      <sheetName val="starter"/>
      <sheetName val="BHANDUP"/>
      <sheetName val="预算"/>
      <sheetName val="電気設備表"/>
      <sheetName val="Projects"/>
      <sheetName val="Project Ignite"/>
      <sheetName val="Quote Sheet"/>
      <sheetName val="ancillary"/>
      <sheetName val="Raw Data"/>
      <sheetName val=" _x000d_¢_x0002_&amp;_x0000__x0000__x0000_ú5#_x0000__x0000__x0000__x0000__x0000__x0000__x0000_"/>
      <sheetName val="eq"/>
      <sheetName val=" _x000d_¢_x0002_&amp;???ú5#???????"/>
      <sheetName val="Customize Your Invoice"/>
      <sheetName val="08.07.10헾】_x0005_??壀$夌$"/>
      <sheetName val="9"/>
      <sheetName val="공사비 내역 (가)"/>
      <sheetName val="Option"/>
      <sheetName val="CIF COST ITEM"/>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98Price"/>
      <sheetName val="FORM7"/>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Cover_Sheet4"/>
      <sheetName val="BOQ_REV_A4"/>
      <sheetName val="PTB_(IO)4"/>
      <sheetName val="BMS_4"/>
      <sheetName val="OVER_HEADS4"/>
      <sheetName val="SPT_vs_PHI4"/>
      <sheetName val="TBAL9697_-group_wise__sdpl4"/>
      <sheetName val="Quantity_Schedule3"/>
      <sheetName val="Revenue__Schedule_3"/>
      <sheetName val="Balance_works_-_Direct_Cost3"/>
      <sheetName val="Balance_works_-_Indirect_Cost3"/>
      <sheetName val="Fund_Plan3"/>
      <sheetName val="Bill_of_Resources3"/>
      <sheetName val="SITE_OVERHEADS2"/>
      <sheetName val="labour_coeff2"/>
      <sheetName val="Expenditure_plan2"/>
      <sheetName val="ORDER_BOOKING2"/>
      <sheetName val="Site_Dev_BOQ2"/>
      <sheetName val="beam-reinft-IIInd_floor2"/>
      <sheetName val="M-Book_for_Conc2"/>
      <sheetName val="M-Book_for_FW2"/>
      <sheetName val="Costing_Upto_Mar'11_(2)2"/>
      <sheetName val="Tender_Summary2"/>
      <sheetName val="TAX_BILLS2"/>
      <sheetName val="CASH_BILLS2"/>
      <sheetName val="LABOUR_BILLS2"/>
      <sheetName val="puch_order2"/>
      <sheetName val="Sheet1_(2)2"/>
      <sheetName val="Boq_Block_A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scurve_calc_(2)1"/>
      <sheetName val="Direct_cost_shed_A-2_1"/>
      <sheetName val="Meas_-Hotel_Part2"/>
      <sheetName val="BOQ_Direct_selling_cost1"/>
      <sheetName val="Ave_wtd_rates1"/>
      <sheetName val="Material_1"/>
      <sheetName val="Labour_&amp;_Plant1"/>
      <sheetName val="22_12_20112"/>
      <sheetName val="BOQ_(2)2"/>
      <sheetName val="Contract_Night_Staff1"/>
      <sheetName val="Contract_Day_Staff1"/>
      <sheetName val="Day_Shift1"/>
      <sheetName val="Night_Shift1"/>
      <sheetName val="Cashflow_projection1"/>
      <sheetName val="PA-_Consutant_1"/>
      <sheetName val="Item-_Compact1"/>
      <sheetName val="Fee_Rate_Summary1"/>
      <sheetName val="Civil_Boq1"/>
      <sheetName val="final_abstract1"/>
      <sheetName val="TBAL9697__group_wise__sdpl1"/>
      <sheetName val="St_co_91_5lvl1"/>
      <sheetName val="Civil_Works1"/>
      <sheetName val="IO_List1"/>
      <sheetName val="Fill_this_out_first___1"/>
      <sheetName val="SP_Break_Up1"/>
      <sheetName val="Labour_productivity1"/>
      <sheetName val="INPUT_SHEET1"/>
      <sheetName val="Meas__Hotel_Part1"/>
      <sheetName val="DI_Rate_Analysis2"/>
      <sheetName val="Economic_RisingMain__Ph-I2"/>
      <sheetName val="_09_07_10_M顅ᎆ뤀ᨇ԰?缀?1"/>
      <sheetName val="Cost_Index1"/>
      <sheetName val="cash_in_flow_Summary_JV_1"/>
      <sheetName val="water_prop_1"/>
      <sheetName val="GR_slab-reinft1"/>
      <sheetName val="Sales_&amp;_Prod1"/>
      <sheetName val="Rate_analysis-_BOQ_1_1"/>
      <sheetName val="MN_T_B_1"/>
      <sheetName val="Staff_Acco_1"/>
      <sheetName val="Project_Details__1"/>
      <sheetName val="F20_Risk_Analysis1"/>
      <sheetName val="Change_Order_Log1"/>
      <sheetName val="2000_MOR1"/>
      <sheetName val="Driveway_Beams1"/>
      <sheetName val="Structure_Bills_Qty1"/>
      <sheetName val="Prelims_Breakup2"/>
      <sheetName val="INDIGINEOUS_ITEMS_1"/>
      <sheetName val="3cd_Annexure1"/>
      <sheetName val="1_Civil-RA1"/>
      <sheetName val="Rate_Analysis1"/>
      <sheetName val="Fin__Assumpt__-_Sensitivities1"/>
      <sheetName val="Bill_11"/>
      <sheetName val="Bill_21"/>
      <sheetName val="Bill_31"/>
      <sheetName val="Bill_41"/>
      <sheetName val="Bill_51"/>
      <sheetName val="Bill_61"/>
      <sheetName val="Bill_71"/>
      <sheetName val="_09_07_10_M顅ᎆ뤀ᨇ԰1"/>
      <sheetName val="_09_07_10_M顅ᎆ뤀ᨇ԰_缀_1"/>
      <sheetName val="Assumption_Inputs1"/>
      <sheetName val="Phase_11"/>
      <sheetName val="Pacakges_split1"/>
      <sheetName val="DEINKING(ANNEX_1)1"/>
      <sheetName val="AutoOpen_Stub_Data1"/>
      <sheetName val="Eqpmnt_Plng1"/>
      <sheetName val="Debits_as_on_12_04_08"/>
      <sheetName val="Data_Sheet"/>
      <sheetName val="T-P1,_FINISHES_WORKING_1"/>
      <sheetName val="Assumption_&amp;_Exclusion1"/>
      <sheetName val="External_Doors1"/>
      <sheetName val="STAFFSCHED_"/>
      <sheetName val="LABOUR_RATE1"/>
      <sheetName val="Material_Rate1"/>
      <sheetName val="Switch_V161"/>
      <sheetName val="India_F&amp;S_Template"/>
      <sheetName val="_bus_bay"/>
      <sheetName val="doq_4"/>
      <sheetName val="doq_2"/>
      <sheetName val="Grade_Slab_-11"/>
      <sheetName val="Grade_Slab_-21"/>
      <sheetName val="Grade_slab-31"/>
      <sheetName val="Grade_slab_-41"/>
      <sheetName val="Grade_slab_-51"/>
      <sheetName val="Grade_slab_-61"/>
      <sheetName val="Cat_A_Change_Control1"/>
      <sheetName val="Factor_Sheet1"/>
      <sheetName val="11B_"/>
      <sheetName val="Theo_Cons-June'10"/>
      <sheetName val="ACAD_Finishes"/>
      <sheetName val="Site_Details"/>
      <sheetName val="Site_Area_Statement"/>
      <sheetName val="14_07_10@&amp;Ò:"/>
      <sheetName val="14_07_10Á&amp;î&lt;"/>
      <sheetName val="¸:;b+/î&lt;î:&amp;&amp;"/>
      <sheetName val="Summary_WG"/>
      <sheetName val="BOQ_LT"/>
      <sheetName val="14_07_10_CIVIL_W ["/>
      <sheetName val="Invoice_Tracker"/>
      <sheetName val="Income_Statement"/>
      <sheetName val="__¢&amp;ú5#"/>
      <sheetName val="__¢&amp;???ú5#???????"/>
      <sheetName val="BLOCK-A_(MEA_SHEET)"/>
      <sheetName val="Load_Details(B2)"/>
      <sheetName val="Works_-_Quote_Sheet"/>
      <sheetName val="AFAS_"/>
      <sheetName val="RDS_&amp;_WLD"/>
      <sheetName val="PA_System"/>
      <sheetName val="Server_&amp;_PAC_Room"/>
      <sheetName val="HVAC_BOQ"/>
      <sheetName val="08_07_10헾】????菈"/>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Misc. Data"/>
      <sheetName val="Fin. Assumpt. - SensitivitieH"/>
      <sheetName val="C-12"/>
      <sheetName val="SEW4"/>
      <sheetName val="Fin. Assumpt. - Sensitivitie"/>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Form 6"/>
      <sheetName val="08.07.10_x0000__x0000_ⴠ_x0000__x0000__x0000_㭮㢝輜_x0018_"/>
      <sheetName val="DOOR-WIND"/>
      <sheetName val="ᬀᜀሀༀሀ_x0000__x0000__x0000__x0000__x0000__x0000__x0000__x0000__x0000__x0000__x0000__x0000__x0000_"/>
      <sheetName val="08.07.10헾】_x0005_??헾⽀_x0005__x0000_"/>
      <sheetName val="08.07.10헾】_x0005_??헾⾑_x0005__x0000_"/>
      <sheetName val="7 Other Costs"/>
      <sheetName val="Vind - BtB"/>
      <sheetName val="Codes"/>
      <sheetName val="CCTV_EST1"/>
      <sheetName val="KSt - Analysis "/>
      <sheetName val="Section Catalogue"/>
      <sheetName val="Zuschläge"/>
      <sheetName val="CT"/>
      <sheetName val="PT"/>
      <sheetName val="Revised_2_fc4a"/>
      <sheetName val="Construction"/>
      <sheetName val="CPA33-34"/>
      <sheetName val="P&amp;L"/>
      <sheetName val="Paramètres"/>
      <sheetName val="Divers"/>
      <sheetName val="Civil-BOQ"/>
      <sheetName val="Elec-BOQ"/>
      <sheetName val="Plumb-BOQ"/>
      <sheetName val="Lifts &amp; Escal-BOQ"/>
      <sheetName val="FIRE BOQ"/>
      <sheetName val="Costcal"/>
      <sheetName val="precast RC element"/>
      <sheetName val="INTRO"/>
      <sheetName val="2.civil-RA"/>
      <sheetName val="Rate analysis civil"/>
      <sheetName val="경비공통"/>
      <sheetName val="Conc&amp;steel-assets"/>
      <sheetName val="STP"/>
      <sheetName val="Eqpmnt Pln_x0000_"/>
      <sheetName val="Eqpmnt PlnH"/>
      <sheetName val="Eqpmnt PlnÄ"/>
      <sheetName val="grid"/>
      <sheetName val="Publicbuilding"/>
      <sheetName val="BLK2"/>
      <sheetName val="BLK3"/>
      <sheetName val="E &amp; R"/>
      <sheetName val="radar"/>
      <sheetName val="UG"/>
      <sheetName val="Cash Flow Input Data_ISC"/>
      <sheetName val="Interface_SC"/>
      <sheetName val="Calc_ISC"/>
      <sheetName val="Calc_SC"/>
      <sheetName val="Interface_ISC"/>
      <sheetName val="GD"/>
      <sheetName val="PointNo.5"/>
      <sheetName val="beam-reinft-machine rm"/>
      <sheetName val="PROCTOR"/>
      <sheetName val="CPIPE2"/>
      <sheetName val="basdat"/>
      <sheetName val="maing1"/>
      <sheetName val="General Input"/>
      <sheetName val="d-safe_specs"/>
      <sheetName val="08_07_10헾】_x0000"/>
      <sheetName val="08_07_10헾】____ꎋ"/>
      <sheetName val="Deduction_of_assets"/>
      <sheetName val="Cost_Basis"/>
      <sheetName val="08_07_10헾】??헾⿂"/>
      <sheetName val="08_07_10헾】????懇"/>
      <sheetName val="08_07_10헾】"/>
      <sheetName val="08_07_10헾】??ꮸ⽚"/>
      <sheetName val="08_07_10헾】??丵⼽"/>
      <sheetName val="08_07_10헾】????癠'"/>
      <sheetName val="Blr_hire"/>
      <sheetName val="Miscellan%ouscivil"/>
      <sheetName val="PRECAST_lig(tconc_II"/>
      <sheetName val="08_07_10헾】??헾⽀"/>
      <sheetName val="Quote_Sheet"/>
      <sheetName val="__¢&amp;"/>
      <sheetName val="__¢&amp;___ú5#_______"/>
      <sheetName val="08_07_10헾】??헾⾑"/>
      <sheetName val="B3-B4-B5-"/>
      <sheetName val="&#10;"/>
      <sheetName val="ᬀᜀሀༀሀ"/>
      <sheetName val="Misc__Data"/>
      <sheetName val="Intro_"/>
      <sheetName val="Gate_2"/>
      <sheetName val="MASTER_RATE_ANALYSIS"/>
      <sheetName val="Name_List"/>
      <sheetName val="Project_Ignite"/>
      <sheetName val="Customize_Your_Invoice"/>
      <sheetName val="08_07_10헾】??壀$夌$"/>
      <sheetName val="_22_07_10_MECH-FþÕ"/>
      <sheetName val="08.07.10헾】_x0005_??헾　_x0005__x0000_"/>
      <sheetName val="08.07.10헾】_x0005_??苈ô헾⼤"/>
      <sheetName val="Deprec."/>
      <sheetName val="RA BILL - 1"/>
      <sheetName val="Tax Inv"/>
      <sheetName val="Tax Inv (Client)"/>
      <sheetName val="월선수금"/>
      <sheetName val="Material&amp;equipment"/>
      <sheetName val="_ ¢&amp;ú5#"/>
      <sheetName val="_ ¢&amp;???ú5#???????"/>
      <sheetName val="foot-slab reinft"/>
      <sheetName val="LEVEL SHEET"/>
      <sheetName val="PRECAST_lightconc-II5"/>
      <sheetName val="Cleaning_&amp;_Grubbing5"/>
      <sheetName val="PRECAST_lightconc_II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SITE_OVERHEADS3"/>
      <sheetName val="labour_coeff3"/>
      <sheetName val="Expenditure_plan3"/>
      <sheetName val="ORDER_BOOKING3"/>
      <sheetName val="Site_Dev_BOQ3"/>
      <sheetName val="beam-reinft-IIInd_floor3"/>
      <sheetName val="M-Book_for_Conc3"/>
      <sheetName val="M-Book_for_FW3"/>
      <sheetName val="Costing_Upto_Mar'11_(2)3"/>
      <sheetName val="Tender_Summary3"/>
      <sheetName val="TAX_BILLS3"/>
      <sheetName val="CASH_BILLS3"/>
      <sheetName val="LABOUR_BILLS3"/>
      <sheetName val="puch_order3"/>
      <sheetName val="Sheet1_(2)3"/>
      <sheetName val="Boq_Block_A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scurve_calc_(2)2"/>
      <sheetName val="Meas_-Hotel_Part3"/>
      <sheetName val="BOQ_Direct_selling_cost2"/>
      <sheetName val="Direct_cost_shed_A-2_2"/>
      <sheetName val="Contract_Night_Staff2"/>
      <sheetName val="Contract_Day_Staff2"/>
      <sheetName val="Day_Shift2"/>
      <sheetName val="Night_Shift2"/>
      <sheetName val="Ave_wtd_rates2"/>
      <sheetName val="Material_2"/>
      <sheetName val="Labour_&amp;_Plant2"/>
      <sheetName val="22_12_20113"/>
      <sheetName val="BOQ_(2)3"/>
      <sheetName val="Cashflow_projection2"/>
      <sheetName val="PA-_Consutant_2"/>
      <sheetName val="Civil_Boq2"/>
      <sheetName val="Fee_Rate_Summary2"/>
      <sheetName val="Item-_Compact2"/>
      <sheetName val="final_abstract2"/>
      <sheetName val="TBAL9697__group_wise__sdpl2"/>
      <sheetName val="St_co_91_5lvl2"/>
      <sheetName val="Civil_Works2"/>
      <sheetName val="IO_List2"/>
      <sheetName val="Fill_this_out_first___2"/>
      <sheetName val="Meas__Hotel_Part2"/>
      <sheetName val="INPUT_SHEET2"/>
      <sheetName val="DI_Rate_Analysis3"/>
      <sheetName val="Economic_RisingMain__Ph-I3"/>
      <sheetName val="SP_Break_Up2"/>
      <sheetName val="Labour_productivity2"/>
      <sheetName val="_09_07_10_M顅ᎆ뤀ᨇ԰?缀?2"/>
      <sheetName val="Sales_&amp;_Prod2"/>
      <sheetName val="Cost_Index2"/>
      <sheetName val="cash_in_flow_Summary_JV_2"/>
      <sheetName val="water_prop_2"/>
      <sheetName val="GR_slab-reinft2"/>
      <sheetName val="Staff_Acco_2"/>
      <sheetName val="Rate_analysis-_BOQ_1_2"/>
      <sheetName val="MN_T_B_2"/>
      <sheetName val="Project_Details__2"/>
      <sheetName val="F20_Risk_Analysis2"/>
      <sheetName val="Change_Order_Log2"/>
      <sheetName val="2000_MOR2"/>
      <sheetName val="Driveway_Beams2"/>
      <sheetName val="Structure_Bills_Qty2"/>
      <sheetName val="Prelims_Breakup3"/>
      <sheetName val="INDIGINEOUS_ITEMS_2"/>
      <sheetName val="3cd_Annexure2"/>
      <sheetName val="Rate_Analysis2"/>
      <sheetName val="Fin__Assumpt__-_Sensitivities2"/>
      <sheetName val="Bill_12"/>
      <sheetName val="Bill_22"/>
      <sheetName val="Bill_32"/>
      <sheetName val="Bill_42"/>
      <sheetName val="Bill_52"/>
      <sheetName val="Bill_62"/>
      <sheetName val="Bill_72"/>
      <sheetName val="_09_07_10_M顅ᎆ뤀ᨇ԰2"/>
      <sheetName val="_09_07_10_M顅ᎆ뤀ᨇ԰_缀_2"/>
      <sheetName val="1_Civil-RA2"/>
      <sheetName val="Assumption_Inputs2"/>
      <sheetName val="Phase_12"/>
      <sheetName val="Pacakges_split2"/>
      <sheetName val="DEINKING(ANNEX_1)2"/>
      <sheetName val="AutoOpen_Stub_Data2"/>
      <sheetName val="Eqpmnt_Plng2"/>
      <sheetName val="Debits_as_on_12_04_081"/>
      <sheetName val="Data_Sheet1"/>
      <sheetName val="T-P1,_FINISHES_WORKING_2"/>
      <sheetName val="Assumption_&amp;_Exclusion2"/>
      <sheetName val="External_Doors2"/>
      <sheetName val="STAFFSCHED_1"/>
      <sheetName val="LABOUR_RATE2"/>
      <sheetName val="Material_Rate2"/>
      <sheetName val="Switch_V162"/>
      <sheetName val="India_F&amp;S_Template1"/>
      <sheetName val="_bus_bay1"/>
      <sheetName val="doq_41"/>
      <sheetName val="doq_21"/>
      <sheetName val="Grade_Slab_-12"/>
      <sheetName val="Grade_Slab_-22"/>
      <sheetName val="Grade_slab-32"/>
      <sheetName val="Grade_slab_-42"/>
      <sheetName val="Grade_slab_-52"/>
      <sheetName val="Grade_slab_-62"/>
      <sheetName val="Cat_A_Change_Control2"/>
      <sheetName val="Factor_Sheet2"/>
      <sheetName val="Theo_Cons-June'101"/>
      <sheetName val="11B_1"/>
      <sheetName val="ACAD_Finishes1"/>
      <sheetName val="Site_Details1"/>
      <sheetName val="Site_Area_Statement1"/>
      <sheetName val="Summary_WG1"/>
      <sheetName val="BOQ_LT1"/>
      <sheetName val="14_07_10_CIVIL_W [1"/>
      <sheetName val="AFAS_1"/>
      <sheetName val="RDS_&amp;_WLD1"/>
      <sheetName val="PA_System1"/>
      <sheetName val="Server_&amp;_PAC_Room1"/>
      <sheetName val="HVAC_BOQ1"/>
      <sheetName val="Invoice_Tracker1"/>
      <sheetName val="Income_Statement1"/>
      <sheetName val="Load_Details(B2)1"/>
      <sheetName val="Works_-_Quote_Sheet1"/>
      <sheetName val="BLOCK-A_(MEA_SHEET)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VF_Full_Recon"/>
      <sheetName val="PITP3_COPY"/>
      <sheetName val="Meas_"/>
      <sheetName val="Expenses_Actual_Vs__Budgeted"/>
      <sheetName val="Col_up_to_plinth"/>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RCC,Ret__Wall"/>
      <sheetName val="E_&amp;_R"/>
      <sheetName val="beam-reinft-machine_rm"/>
      <sheetName val="Cash_Flow_Input_Data_ISC"/>
      <sheetName val="Fin__Assumpt__-_SensitivitieH"/>
      <sheetName val="PRECAST_lightconc-II7"/>
      <sheetName val="Cleaning_&amp;_Grubbing7"/>
      <sheetName val="PRECAST_lightconc_II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Quantity_Schedule6"/>
      <sheetName val="Revenue__Schedule_6"/>
      <sheetName val="Balance_works_-_Direct_Cost6"/>
      <sheetName val="Balance_works_-_Indirect_Cost6"/>
      <sheetName val="Fund_Plan6"/>
      <sheetName val="Bill_of_Resources6"/>
      <sheetName val="SITE_OVERHEADS5"/>
      <sheetName val="labour_coeff5"/>
      <sheetName val="Expenditure_plan5"/>
      <sheetName val="ORDER_BOOKING5"/>
      <sheetName val="Site_Dev_BOQ5"/>
      <sheetName val="beam-reinft-IIInd_floor5"/>
      <sheetName val="M-Book_for_Conc5"/>
      <sheetName val="M-Book_for_FW5"/>
      <sheetName val="Costing_Upto_Mar'11_(2)5"/>
      <sheetName val="Tender_Summary5"/>
      <sheetName val="TAX_BILLS5"/>
      <sheetName val="CASH_BILLS5"/>
      <sheetName val="LABOUR_BILLS5"/>
      <sheetName val="puch_order5"/>
      <sheetName val="Sheet1_(2)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scurve_calc_(2)4"/>
      <sheetName val="Meas_-Hotel_Part5"/>
      <sheetName val="BOQ_Direct_selling_cost4"/>
      <sheetName val="Direct_cost_shed_A-2_4"/>
      <sheetName val="Contract_Night_Staff4"/>
      <sheetName val="Contract_Day_Staff4"/>
      <sheetName val="Day_Shift4"/>
      <sheetName val="Night_Shift4"/>
      <sheetName val="Ave_wtd_rates4"/>
      <sheetName val="Material_4"/>
      <sheetName val="Labour_&amp;_Plant4"/>
      <sheetName val="22_12_20115"/>
      <sheetName val="BOQ_(2)5"/>
      <sheetName val="Cashflow_projection4"/>
      <sheetName val="PA-_Consutant_4"/>
      <sheetName val="Civil_Boq4"/>
      <sheetName val="Fee_Rate_Summary4"/>
      <sheetName val="Item-_Compact4"/>
      <sheetName val="final_abstract4"/>
      <sheetName val="TBAL9697__group_wise__sdpl4"/>
      <sheetName val="St_co_91_5lvl4"/>
      <sheetName val="Civil_Works4"/>
      <sheetName val="IO_List4"/>
      <sheetName val="Fill_this_out_first___4"/>
      <sheetName val="Meas__Hotel_Part4"/>
      <sheetName val="INPUT_SHEET4"/>
      <sheetName val="DI_Rate_Analysis5"/>
      <sheetName val="Economic_RisingMain__Ph-I5"/>
      <sheetName val="SP_Break_Up4"/>
      <sheetName val="Labour_productivity4"/>
      <sheetName val="_09_07_10_M顅ᎆ뤀ᨇ԰?缀?4"/>
      <sheetName val="Sales_&amp;_Prod4"/>
      <sheetName val="Cost_Index4"/>
      <sheetName val="cash_in_flow_Summary_JV_4"/>
      <sheetName val="water_prop_4"/>
      <sheetName val="GR_slab-reinft4"/>
      <sheetName val="Staff_Acco_4"/>
      <sheetName val="Rate_analysis-_BOQ_1_4"/>
      <sheetName val="MN_T_B_4"/>
      <sheetName val="Project_Details__4"/>
      <sheetName val="F20_Risk_Analysis4"/>
      <sheetName val="Change_Order_Log4"/>
      <sheetName val="2000_MOR4"/>
      <sheetName val="Driveway_Beams4"/>
      <sheetName val="Structure_Bills_Qty4"/>
      <sheetName val="Prelims_Breakup5"/>
      <sheetName val="INDIGINEOUS_ITEMS_4"/>
      <sheetName val="3cd_Annexure4"/>
      <sheetName val="Rate_Analysis4"/>
      <sheetName val="Fin__Assumpt__-_Sensitivities4"/>
      <sheetName val="Bill_14"/>
      <sheetName val="Bill_24"/>
      <sheetName val="Bill_34"/>
      <sheetName val="Bill_44"/>
      <sheetName val="Bill_54"/>
      <sheetName val="Bill_64"/>
      <sheetName val="Bill_74"/>
      <sheetName val="_09_07_10_M顅ᎆ뤀ᨇ԰4"/>
      <sheetName val="_09_07_10_M顅ᎆ뤀ᨇ԰_缀_4"/>
      <sheetName val="1_Civil-RA4"/>
      <sheetName val="Assumption_Inputs4"/>
      <sheetName val="Phase_14"/>
      <sheetName val="Pacakges_split4"/>
      <sheetName val="DEINKING(ANNEX_1)4"/>
      <sheetName val="AutoOpen_Stub_Data4"/>
      <sheetName val="Eqpmnt_Plng4"/>
      <sheetName val="Debits_as_on_12_04_083"/>
      <sheetName val="Data_Sheet3"/>
      <sheetName val="T-P1,_FINISHES_WORKING_4"/>
      <sheetName val="Assumption_&amp;_Exclusion4"/>
      <sheetName val="External_Doors4"/>
      <sheetName val="STAFFSCHED_3"/>
      <sheetName val="LABOUR_RATE4"/>
      <sheetName val="Material_Rate4"/>
      <sheetName val="Switch_V164"/>
      <sheetName val="India_F&amp;S_Template3"/>
      <sheetName val="_bus_bay3"/>
      <sheetName val="doq_43"/>
      <sheetName val="doq_23"/>
      <sheetName val="Grade_Slab_-14"/>
      <sheetName val="Grade_Slab_-24"/>
      <sheetName val="Grade_slab-34"/>
      <sheetName val="Grade_slab_-44"/>
      <sheetName val="Grade_slab_-54"/>
      <sheetName val="Grade_slab_-64"/>
      <sheetName val="Cat_A_Change_Control4"/>
      <sheetName val="Factor_Sheet4"/>
      <sheetName val="Theo_Cons-June'103"/>
      <sheetName val="11B_3"/>
      <sheetName val="ACAD_Finishes3"/>
      <sheetName val="Site_Details3"/>
      <sheetName val="Site_Area_Statement3"/>
      <sheetName val="Summary_WG3"/>
      <sheetName val="BOQ_LT3"/>
      <sheetName val="14_07_10_CIVIL_W [3"/>
      <sheetName val="AFAS_3"/>
      <sheetName val="RDS_&amp;_WLD3"/>
      <sheetName val="PA_System3"/>
      <sheetName val="Server_&amp;_PAC_Room3"/>
      <sheetName val="HVAC_BOQ3"/>
      <sheetName val="Invoice_Tracker3"/>
      <sheetName val="Income_Statement3"/>
      <sheetName val="Load_Details(B2)3"/>
      <sheetName val="Works_-_Quote_Sheet3"/>
      <sheetName val="BLOCK-A_(MEA_SHEET)3"/>
      <sheetName val="Cost_Basis2"/>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d-safe_specs2"/>
      <sheetName val="Deduction_of_assets2"/>
      <sheetName val="Blr_hire2"/>
      <sheetName val="PRECAST_lig(tconc_II2"/>
      <sheetName val="VF_Full_Recon2"/>
      <sheetName val="PITP3_COPY2"/>
      <sheetName val="Meas_2"/>
      <sheetName val="Expenses_Actual_Vs__Budgeted2"/>
      <sheetName val="Col_up_to_plinth2"/>
      <sheetName val="MASTER_RATE_ANALYSIS2"/>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Quote_Sheet2"/>
      <sheetName val="RCC,Ret__Wall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PRECAST_lightconc-II6"/>
      <sheetName val="Cleaning_&amp;_Grubbing6"/>
      <sheetName val="PRECAST_lightconc_II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Quantity_Schedule5"/>
      <sheetName val="Revenue__Schedule_5"/>
      <sheetName val="Balance_works_-_Direct_Cost5"/>
      <sheetName val="Balance_works_-_Indirect_Cost5"/>
      <sheetName val="Fund_Plan5"/>
      <sheetName val="Bill_of_Resources5"/>
      <sheetName val="SITE_OVERHEADS4"/>
      <sheetName val="labour_coeff4"/>
      <sheetName val="Expenditure_plan4"/>
      <sheetName val="ORDER_BOOKING4"/>
      <sheetName val="Site_Dev_BOQ4"/>
      <sheetName val="beam-reinft-IIInd_floor4"/>
      <sheetName val="M-Book_for_Conc4"/>
      <sheetName val="M-Book_for_FW4"/>
      <sheetName val="Costing_Upto_Mar'11_(2)4"/>
      <sheetName val="Tender_Summary4"/>
      <sheetName val="TAX_BILLS4"/>
      <sheetName val="CASH_BILLS4"/>
      <sheetName val="LABOUR_BILLS4"/>
      <sheetName val="puch_order4"/>
      <sheetName val="Sheet1_(2)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scurve_calc_(2)3"/>
      <sheetName val="Meas_-Hotel_Part4"/>
      <sheetName val="BOQ_Direct_selling_cost3"/>
      <sheetName val="Direct_cost_shed_A-2_3"/>
      <sheetName val="Contract_Night_Staff3"/>
      <sheetName val="Contract_Day_Staff3"/>
      <sheetName val="Day_Shift3"/>
      <sheetName val="Night_Shift3"/>
      <sheetName val="Ave_wtd_rates3"/>
      <sheetName val="Material_3"/>
      <sheetName val="Labour_&amp;_Plant3"/>
      <sheetName val="22_12_20114"/>
      <sheetName val="BOQ_(2)4"/>
      <sheetName val="Cashflow_projection3"/>
      <sheetName val="PA-_Consutant_3"/>
      <sheetName val="Civil_Boq3"/>
      <sheetName val="Fee_Rate_Summary3"/>
      <sheetName val="Item-_Compact3"/>
      <sheetName val="final_abstract3"/>
      <sheetName val="TBAL9697__group_wise__sdpl3"/>
      <sheetName val="St_co_91_5lvl3"/>
      <sheetName val="Civil_Works3"/>
      <sheetName val="IO_List3"/>
      <sheetName val="Fill_this_out_first___3"/>
      <sheetName val="Meas__Hotel_Part3"/>
      <sheetName val="INPUT_SHEET3"/>
      <sheetName val="DI_Rate_Analysis4"/>
      <sheetName val="Economic_RisingMain__Ph-I4"/>
      <sheetName val="SP_Break_Up3"/>
      <sheetName val="Labour_productivity3"/>
      <sheetName val="_09_07_10_M顅ᎆ뤀ᨇ԰?缀?3"/>
      <sheetName val="Sales_&amp;_Prod3"/>
      <sheetName val="Cost_Index3"/>
      <sheetName val="cash_in_flow_Summary_JV_3"/>
      <sheetName val="water_prop_3"/>
      <sheetName val="GR_slab-reinft3"/>
      <sheetName val="Staff_Acco_3"/>
      <sheetName val="Rate_analysis-_BOQ_1_3"/>
      <sheetName val="MN_T_B_3"/>
      <sheetName val="Project_Details__3"/>
      <sheetName val="F20_Risk_Analysis3"/>
      <sheetName val="Change_Order_Log3"/>
      <sheetName val="2000_MOR3"/>
      <sheetName val="Driveway_Beams3"/>
      <sheetName val="Structure_Bills_Qty3"/>
      <sheetName val="Prelims_Breakup4"/>
      <sheetName val="INDIGINEOUS_ITEMS_3"/>
      <sheetName val="3cd_Annexure3"/>
      <sheetName val="Rate_Analysis3"/>
      <sheetName val="Fin__Assumpt__-_Sensitivities3"/>
      <sheetName val="Bill_13"/>
      <sheetName val="Bill_23"/>
      <sheetName val="Bill_33"/>
      <sheetName val="Bill_43"/>
      <sheetName val="Bill_53"/>
      <sheetName val="Bill_63"/>
      <sheetName val="Bill_73"/>
      <sheetName val="_09_07_10_M顅ᎆ뤀ᨇ԰3"/>
      <sheetName val="_09_07_10_M顅ᎆ뤀ᨇ԰_缀_3"/>
      <sheetName val="1_Civil-RA3"/>
      <sheetName val="Assumption_Inputs3"/>
      <sheetName val="Phase_13"/>
      <sheetName val="Pacakges_split3"/>
      <sheetName val="DEINKING(ANNEX_1)3"/>
      <sheetName val="AutoOpen_Stub_Data3"/>
      <sheetName val="Eqpmnt_Plng3"/>
      <sheetName val="Debits_as_on_12_04_082"/>
      <sheetName val="Data_Sheet2"/>
      <sheetName val="T-P1,_FINISHES_WORKING_3"/>
      <sheetName val="Assumption_&amp;_Exclusion3"/>
      <sheetName val="External_Doors3"/>
      <sheetName val="STAFFSCHED_2"/>
      <sheetName val="LABOUR_RATE3"/>
      <sheetName val="Material_Rate3"/>
      <sheetName val="Switch_V163"/>
      <sheetName val="India_F&amp;S_Template2"/>
      <sheetName val="_bus_bay2"/>
      <sheetName val="doq_42"/>
      <sheetName val="doq_22"/>
      <sheetName val="Grade_Slab_-13"/>
      <sheetName val="Grade_Slab_-23"/>
      <sheetName val="Grade_slab-33"/>
      <sheetName val="Grade_slab_-43"/>
      <sheetName val="Grade_slab_-53"/>
      <sheetName val="Grade_slab_-63"/>
      <sheetName val="Cat_A_Change_Control3"/>
      <sheetName val="Factor_Sheet3"/>
      <sheetName val="Theo_Cons-June'102"/>
      <sheetName val="11B_2"/>
      <sheetName val="ACAD_Finishes2"/>
      <sheetName val="Site_Details2"/>
      <sheetName val="Site_Area_Statement2"/>
      <sheetName val="Summary_WG2"/>
      <sheetName val="BOQ_LT2"/>
      <sheetName val="14_07_10_CIVIL_W [2"/>
      <sheetName val="AFAS_2"/>
      <sheetName val="RDS_&amp;_WLD2"/>
      <sheetName val="PA_System2"/>
      <sheetName val="Server_&amp;_PAC_Room2"/>
      <sheetName val="HVAC_BOQ2"/>
      <sheetName val="Invoice_Tracker2"/>
      <sheetName val="Income_Statement2"/>
      <sheetName val="Load_Details(B2)2"/>
      <sheetName val="Works_-_Quote_Sheet2"/>
      <sheetName val="BLOCK-A_(MEA_SHEET)2"/>
      <sheetName val="Cost_Basis1"/>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d-safe_specs1"/>
      <sheetName val="Deduction_of_assets1"/>
      <sheetName val="Blr_hire1"/>
      <sheetName val="PRECAST_lig(tconc_II1"/>
      <sheetName val="VF_Full_Recon1"/>
      <sheetName val="PITP3_COPY1"/>
      <sheetName val="Meas_1"/>
      <sheetName val="Expenses_Actual_Vs__Budgeted1"/>
      <sheetName val="Col_up_to_plinth1"/>
      <sheetName val="MASTER_RATE_ANALYSIS1"/>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Quote_Sheet1"/>
      <sheetName val="RCC,Ret__Wall1"/>
      <sheetName val="Name_List1"/>
      <sheetName val="Intro_1"/>
      <sheetName val="Gate_21"/>
      <sheetName val="Project_Ignite1"/>
      <sheetName val="E_&amp;_R1"/>
      <sheetName val="Customize_Your_Invoice1"/>
      <sheetName val="Misc__Data1"/>
      <sheetName val="beam-reinft-machine_rm1"/>
      <sheetName val="Cash_Flow_Input_Data_ISC1"/>
      <sheetName val="Fin__Assumpt__-_SensitivitieH1"/>
      <sheetName val="PRECAST_lightconc-II8"/>
      <sheetName val="Cleaning_&amp;_Grubbing8"/>
      <sheetName val="PRECAST_lightconc_II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SITE_OVERHEADS6"/>
      <sheetName val="labour_coeff6"/>
      <sheetName val="Expenditure_plan6"/>
      <sheetName val="ORDER_BOOKING6"/>
      <sheetName val="Site_Dev_BOQ6"/>
      <sheetName val="beam-reinft-IIInd_floor6"/>
      <sheetName val="M-Book_for_Conc6"/>
      <sheetName val="M-Book_for_FW6"/>
      <sheetName val="Costing_Upto_Mar'11_(2)6"/>
      <sheetName val="Tender_Summary6"/>
      <sheetName val="TAX_BILLS6"/>
      <sheetName val="CASH_BILLS6"/>
      <sheetName val="LABOUR_BILLS6"/>
      <sheetName val="puch_order6"/>
      <sheetName val="Sheet1_(2)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scurve_calc_(2)5"/>
      <sheetName val="Meas_-Hotel_Part6"/>
      <sheetName val="BOQ_Direct_selling_cost5"/>
      <sheetName val="Direct_cost_shed_A-2_5"/>
      <sheetName val="Contract_Night_Staff5"/>
      <sheetName val="Contract_Day_Staff5"/>
      <sheetName val="Day_Shift5"/>
      <sheetName val="Night_Shift5"/>
      <sheetName val="Ave_wtd_rates5"/>
      <sheetName val="Material_5"/>
      <sheetName val="Labour_&amp;_Plant5"/>
      <sheetName val="22_12_20116"/>
      <sheetName val="BOQ_(2)6"/>
      <sheetName val="Cashflow_projection5"/>
      <sheetName val="PA-_Consutant_5"/>
      <sheetName val="Civil_Boq5"/>
      <sheetName val="Fee_Rate_Summary5"/>
      <sheetName val="Item-_Compact5"/>
      <sheetName val="final_abstract5"/>
      <sheetName val="TBAL9697__group_wise__sdpl5"/>
      <sheetName val="St_co_91_5lvl5"/>
      <sheetName val="Civil_Works5"/>
      <sheetName val="IO_List5"/>
      <sheetName val="Fill_this_out_first___5"/>
      <sheetName val="Meas__Hotel_Part5"/>
      <sheetName val="INPUT_SHEET5"/>
      <sheetName val="DI_Rate_Analysis6"/>
      <sheetName val="Economic_RisingMain__Ph-I6"/>
      <sheetName val="SP_Break_Up5"/>
      <sheetName val="Labour_productivity5"/>
      <sheetName val="_09_07_10_M顅ᎆ뤀ᨇ԰?缀?5"/>
      <sheetName val="Sales_&amp;_Prod5"/>
      <sheetName val="Cost_Index5"/>
      <sheetName val="cash_in_flow_Summary_JV_5"/>
      <sheetName val="water_prop_5"/>
      <sheetName val="GR_slab-reinft5"/>
      <sheetName val="Staff_Acco_5"/>
      <sheetName val="Rate_analysis-_BOQ_1_5"/>
      <sheetName val="MN_T_B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External_Doors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Cost_Basis3"/>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Deduction_of_assets3"/>
      <sheetName val="Blr_hire3"/>
      <sheetName val="PRECAST_lig(tconc_II3"/>
      <sheetName val="VF_Full_Recon3"/>
      <sheetName val="PITP3_COPY3"/>
      <sheetName val="Meas_3"/>
      <sheetName val="Expenses_Actual_Vs__Budgeted3"/>
      <sheetName val="Col_up_to_plinth3"/>
      <sheetName val="MASTER_RATE_ANALYSIS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PRECAST_lightconc-II9"/>
      <sheetName val="Cleaning_&amp;_Grubbing9"/>
      <sheetName val="PRECAST_lightconc_II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SITE_OVERHEADS7"/>
      <sheetName val="labour_coeff7"/>
      <sheetName val="Expenditure_plan7"/>
      <sheetName val="ORDER_BOOKING7"/>
      <sheetName val="Site_Dev_BOQ7"/>
      <sheetName val="beam-reinft-IIInd_floor7"/>
      <sheetName val="M-Book_for_Conc7"/>
      <sheetName val="M-Book_for_FW7"/>
      <sheetName val="Costing_Upto_Mar'11_(2)7"/>
      <sheetName val="Tender_Summary7"/>
      <sheetName val="TAX_BILLS7"/>
      <sheetName val="CASH_BILLS7"/>
      <sheetName val="LABOUR_BILLS7"/>
      <sheetName val="puch_order7"/>
      <sheetName val="Sheet1_(2)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scurve_calc_(2)6"/>
      <sheetName val="Meas_-Hotel_Part7"/>
      <sheetName val="BOQ_Direct_selling_cost6"/>
      <sheetName val="Direct_cost_shed_A-2_6"/>
      <sheetName val="Contract_Night_Staff6"/>
      <sheetName val="Contract_Day_Staff6"/>
      <sheetName val="Day_Shift6"/>
      <sheetName val="Night_Shift6"/>
      <sheetName val="Ave_wtd_rates6"/>
      <sheetName val="Material_6"/>
      <sheetName val="Labour_&amp;_Plant6"/>
      <sheetName val="22_12_20117"/>
      <sheetName val="BOQ_(2)7"/>
      <sheetName val="Cashflow_projection6"/>
      <sheetName val="PA-_Consutant_6"/>
      <sheetName val="Civil_Boq6"/>
      <sheetName val="Fee_Rate_Summary6"/>
      <sheetName val="Item-_Compact6"/>
      <sheetName val="final_abstract6"/>
      <sheetName val="TBAL9697__group_wise__sdpl6"/>
      <sheetName val="St_co_91_5lvl6"/>
      <sheetName val="Civil_Works6"/>
      <sheetName val="IO_List6"/>
      <sheetName val="Fill_this_out_first___6"/>
      <sheetName val="Meas__Hotel_Part6"/>
      <sheetName val="INPUT_SHEET6"/>
      <sheetName val="DI_Rate_Analysis7"/>
      <sheetName val="Economic_RisingMain__Ph-I7"/>
      <sheetName val="SP_Break_Up6"/>
      <sheetName val="Labour_productivity6"/>
      <sheetName val="_09_07_10_M顅ᎆ뤀ᨇ԰?缀?6"/>
      <sheetName val="Sales_&amp;_Prod6"/>
      <sheetName val="Cost_Index6"/>
      <sheetName val="cash_in_flow_Summary_JV_6"/>
      <sheetName val="water_prop_6"/>
      <sheetName val="GR_slab-reinft6"/>
      <sheetName val="Staff_Acco_6"/>
      <sheetName val="Rate_analysis-_BOQ_1_6"/>
      <sheetName val="MN_T_B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External_Doors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PRECAST_lightconc-II10"/>
      <sheetName val="Cleaning_&amp;_Grubbing10"/>
      <sheetName val="PRECAST_lightconc_II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SITE_OVERHEADS8"/>
      <sheetName val="labour_coeff8"/>
      <sheetName val="Expenditure_plan8"/>
      <sheetName val="ORDER_BOOKING8"/>
      <sheetName val="Site_Dev_BOQ8"/>
      <sheetName val="beam-reinft-IIInd_floor8"/>
      <sheetName val="M-Book_for_Conc8"/>
      <sheetName val="M-Book_for_FW8"/>
      <sheetName val="Costing_Upto_Mar'11_(2)8"/>
      <sheetName val="Tender_Summary8"/>
      <sheetName val="TAX_BILLS8"/>
      <sheetName val="CASH_BILLS8"/>
      <sheetName val="LABOUR_BILLS8"/>
      <sheetName val="puch_order8"/>
      <sheetName val="Sheet1_(2)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scurve_calc_(2)7"/>
      <sheetName val="Meas_-Hotel_Part8"/>
      <sheetName val="BOQ_Direct_selling_cost7"/>
      <sheetName val="Direct_cost_shed_A-2_7"/>
      <sheetName val="Contract_Night_Staff7"/>
      <sheetName val="Contract_Day_Staff7"/>
      <sheetName val="Day_Shift7"/>
      <sheetName val="Night_Shift7"/>
      <sheetName val="Ave_wtd_rates7"/>
      <sheetName val="Material_7"/>
      <sheetName val="Labour_&amp;_Plant7"/>
      <sheetName val="22_12_20118"/>
      <sheetName val="BOQ_(2)8"/>
      <sheetName val="Cashflow_projection7"/>
      <sheetName val="PA-_Consutant_7"/>
      <sheetName val="Civil_Boq7"/>
      <sheetName val="Fee_Rate_Summary7"/>
      <sheetName val="Item-_Compact7"/>
      <sheetName val="final_abstract7"/>
      <sheetName val="TBAL9697__group_wise__sdpl7"/>
      <sheetName val="St_co_91_5lvl7"/>
      <sheetName val="Civil_Works7"/>
      <sheetName val="IO_List7"/>
      <sheetName val="Fill_this_out_first___7"/>
      <sheetName val="Meas__Hotel_Part7"/>
      <sheetName val="INPUT_SHEET7"/>
      <sheetName val="DI_Rate_Analysis8"/>
      <sheetName val="Economic_RisingMain__Ph-I8"/>
      <sheetName val="SP_Break_Up7"/>
      <sheetName val="Labour_productivity7"/>
      <sheetName val="_09_07_10_M顅ᎆ뤀ᨇ԰?缀?7"/>
      <sheetName val="Sales_&amp;_Prod7"/>
      <sheetName val="Cost_Index7"/>
      <sheetName val="cash_in_flow_Summary_JV_7"/>
      <sheetName val="water_prop_7"/>
      <sheetName val="GR_slab-reinft7"/>
      <sheetName val="Staff_Acco_7"/>
      <sheetName val="Rate_analysis-_BOQ_1_7"/>
      <sheetName val="MN_T_B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External_Doors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PRECAST_lightconc-II11"/>
      <sheetName val="Cleaning_&amp;_Grubbing11"/>
      <sheetName val="PRECAST_lightconc_II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SITE_OVERHEADS9"/>
      <sheetName val="labour_coeff9"/>
      <sheetName val="Expenditure_plan9"/>
      <sheetName val="ORDER_BOOKING9"/>
      <sheetName val="Site_Dev_BOQ9"/>
      <sheetName val="beam-reinft-IIInd_floor9"/>
      <sheetName val="M-Book_for_Conc9"/>
      <sheetName val="M-Book_for_FW9"/>
      <sheetName val="Costing_Upto_Mar'11_(2)9"/>
      <sheetName val="Tender_Summary9"/>
      <sheetName val="TAX_BILLS9"/>
      <sheetName val="CASH_BILLS9"/>
      <sheetName val="LABOUR_BILLS9"/>
      <sheetName val="puch_order9"/>
      <sheetName val="Sheet1_(2)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scurve_calc_(2)8"/>
      <sheetName val="Meas_-Hotel_Part9"/>
      <sheetName val="BOQ_Direct_selling_cost8"/>
      <sheetName val="Direct_cost_shed_A-2_8"/>
      <sheetName val="Contract_Night_Staff8"/>
      <sheetName val="Contract_Day_Staff8"/>
      <sheetName val="Day_Shift8"/>
      <sheetName val="Night_Shift8"/>
      <sheetName val="Ave_wtd_rates8"/>
      <sheetName val="Material_8"/>
      <sheetName val="Labour_&amp;_Plant8"/>
      <sheetName val="22_12_20119"/>
      <sheetName val="BOQ_(2)9"/>
      <sheetName val="Cashflow_projection8"/>
      <sheetName val="PA-_Consutant_8"/>
      <sheetName val="Civil_Boq8"/>
      <sheetName val="Fee_Rate_Summary8"/>
      <sheetName val="Item-_Compact8"/>
      <sheetName val="final_abstract8"/>
      <sheetName val="TBAL9697__group_wise__sdpl8"/>
      <sheetName val="St_co_91_5lvl8"/>
      <sheetName val="Civil_Works8"/>
      <sheetName val="IO_List8"/>
      <sheetName val="Fill_this_out_first___8"/>
      <sheetName val="Meas__Hotel_Part8"/>
      <sheetName val="INPUT_SHEET8"/>
      <sheetName val="DI_Rate_Analysis9"/>
      <sheetName val="Economic_RisingMain__Ph-I9"/>
      <sheetName val="SP_Break_Up8"/>
      <sheetName val="Labour_productivity8"/>
      <sheetName val="_09_07_10_M顅ᎆ뤀ᨇ԰?缀?8"/>
      <sheetName val="Sales_&amp;_Prod8"/>
      <sheetName val="Cost_Index8"/>
      <sheetName val="cash_in_flow_Summary_JV_8"/>
      <sheetName val="water_prop_8"/>
      <sheetName val="GR_slab-reinft8"/>
      <sheetName val="Staff_Acco_8"/>
      <sheetName val="Rate_analysis-_BOQ_1_8"/>
      <sheetName val="MN_T_B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External_Doors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PRECAST_lightconc-II12"/>
      <sheetName val="Cleaning_&amp;_Grubbing12"/>
      <sheetName val="PRECAST_lightconc_II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SITE_OVERHEADS10"/>
      <sheetName val="labour_coeff10"/>
      <sheetName val="Expenditure_plan10"/>
      <sheetName val="ORDER_BOOKING10"/>
      <sheetName val="Site_Dev_BOQ10"/>
      <sheetName val="beam-reinft-IIInd_floor10"/>
      <sheetName val="M-Book_for_Conc10"/>
      <sheetName val="M-Book_for_FW10"/>
      <sheetName val="Costing_Upto_Mar'11_(2)10"/>
      <sheetName val="Tender_Summary10"/>
      <sheetName val="TAX_BILLS10"/>
      <sheetName val="CASH_BILLS10"/>
      <sheetName val="LABOUR_BILLS10"/>
      <sheetName val="puch_order10"/>
      <sheetName val="Sheet1_(2)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scurve_calc_(2)9"/>
      <sheetName val="Meas_-Hotel_Part10"/>
      <sheetName val="BOQ_Direct_selling_cost9"/>
      <sheetName val="Direct_cost_shed_A-2_9"/>
      <sheetName val="Contract_Night_Staff9"/>
      <sheetName val="Contract_Day_Staff9"/>
      <sheetName val="Day_Shift9"/>
      <sheetName val="Night_Shift9"/>
      <sheetName val="Ave_wtd_rates9"/>
      <sheetName val="Material_9"/>
      <sheetName val="Labour_&amp;_Plant9"/>
      <sheetName val="22_12_201110"/>
      <sheetName val="BOQ_(2)10"/>
      <sheetName val="Cashflow_projection9"/>
      <sheetName val="PA-_Consutant_9"/>
      <sheetName val="Civil_Boq9"/>
      <sheetName val="Fee_Rate_Summary9"/>
      <sheetName val="Item-_Compact9"/>
      <sheetName val="final_abstract9"/>
      <sheetName val="TBAL9697__group_wise__sdpl9"/>
      <sheetName val="St_co_91_5lvl9"/>
      <sheetName val="Civil_Works9"/>
      <sheetName val="IO_List9"/>
      <sheetName val="Fill_this_out_first___9"/>
      <sheetName val="Meas__Hotel_Part9"/>
      <sheetName val="INPUT_SHEET9"/>
      <sheetName val="DI_Rate_Analysis10"/>
      <sheetName val="Economic_RisingMain__Ph-I10"/>
      <sheetName val="SP_Break_Up9"/>
      <sheetName val="Labour_productivity9"/>
      <sheetName val="_09_07_10_M顅ᎆ뤀ᨇ԰?缀?9"/>
      <sheetName val="Sales_&amp;_Prod9"/>
      <sheetName val="Cost_Index9"/>
      <sheetName val="cash_in_flow_Summary_JV_9"/>
      <sheetName val="water_prop_9"/>
      <sheetName val="GR_slab-reinft9"/>
      <sheetName val="Staff_Acco_9"/>
      <sheetName val="Rate_analysis-_BOQ_1_9"/>
      <sheetName val="MN_T_B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External_Doors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scurve_calc_(2)10"/>
      <sheetName val="Meas_-Hotel_Part11"/>
      <sheetName val="BOQ_Direct_selling_cost10"/>
      <sheetName val="Direct_cost_shed_A-2_10"/>
      <sheetName val="Contract_Night_Staff10"/>
      <sheetName val="Contract_Day_Staff10"/>
      <sheetName val="Day_Shift10"/>
      <sheetName val="Night_Shift10"/>
      <sheetName val="Ave_wtd_rates10"/>
      <sheetName val="Material_10"/>
      <sheetName val="Labour_&amp;_Plant10"/>
      <sheetName val="22_12_201111"/>
      <sheetName val="BOQ_(2)11"/>
      <sheetName val="Cashflow_projection10"/>
      <sheetName val="PA-_Consutant_10"/>
      <sheetName val="Civil_Boq10"/>
      <sheetName val="Fee_Rate_Summary10"/>
      <sheetName val="Item-_Compact10"/>
      <sheetName val="final_abstract10"/>
      <sheetName val="TBAL9697__group_wise__sdpl10"/>
      <sheetName val="St_co_91_5lvl10"/>
      <sheetName val="Civil_Works10"/>
      <sheetName val="IO_List10"/>
      <sheetName val="Fill_this_out_first___10"/>
      <sheetName val="Meas__Hotel_Part10"/>
      <sheetName val="INPUT_SHEET10"/>
      <sheetName val="DI_Rate_Analysis11"/>
      <sheetName val="Economic_RisingMain__Ph-I11"/>
      <sheetName val="SP_Break_Up10"/>
      <sheetName val="Labour_productivity10"/>
      <sheetName val="_09_07_10_M顅ᎆ뤀ᨇ԰?缀?10"/>
      <sheetName val="Sales_&amp;_Prod10"/>
      <sheetName val="Cost_Index10"/>
      <sheetName val="cash_in_flow_Summary_JV_10"/>
      <sheetName val="water_prop_10"/>
      <sheetName val="GR_slab-reinft10"/>
      <sheetName val="Staff_Acco_10"/>
      <sheetName val="Rate_analysis-_BOQ_1_10"/>
      <sheetName val="MN_T_B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External_Doors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sheet6"/>
      <sheetName val="_x0000__x0017__x0000__x0012__x0000__x000f__x0000__x0012__x0000__x0013__x0000_ _x0000__x001a__x0000__x001b__x0000__x0017__x0000_"/>
      <sheetName val="Guide"/>
      <sheetName val="08.07.10 CIVIՌ_x0000_缀_x0000__x0000_"/>
      <sheetName val="Basement Budget"/>
      <sheetName val="RES-PLANNING"/>
      <sheetName val="Progress"/>
      <sheetName val="TEXT"/>
      <sheetName val="sept-plan"/>
      <sheetName val="WORK TABLE"/>
      <sheetName val="R.A."/>
      <sheetName val="Footing "/>
      <sheetName val="PROG_DATA"/>
      <sheetName val=" _¢_x0002_&amp;_x0000__x0000__x0000"/>
      <sheetName val="Con0304"/>
      <sheetName val="SALA-002"/>
      <sheetName val="MS Loan repayments"/>
      <sheetName val="abst-of -cost"/>
      <sheetName val="Detail In Door Stad"/>
      <sheetName val="COP Final"/>
      <sheetName val="Varthur 1"/>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공사비_내역_(가)3"/>
      <sheetName val="Raw_Data3"/>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공사비_내역_(가)"/>
      <sheetName val="Raw_Data"/>
      <sheetName val="KSt_-_Analysis_"/>
      <sheetName val="Section_Catalogue"/>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공사비_내역_(가)1"/>
      <sheetName val="Raw_Data1"/>
      <sheetName val="KSt_-_Analysis_1"/>
      <sheetName val="Section_Catalogue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공사비_내역_(가)2"/>
      <sheetName val="Raw_Data2"/>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공사비_내역_(가)4"/>
      <sheetName val="Raw_Data4"/>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공사비_내역_(가)5"/>
      <sheetName val="Raw_Data5"/>
      <sheetName val="KSt_-_Analysis_5"/>
      <sheetName val="Section_Catalogue5"/>
      <sheetName val="__¢&amp;ú5#6"/>
      <sheetName val="__¢&amp;???ú5#???????6"/>
      <sheetName val="dummy"/>
      <sheetName val="inter"/>
      <sheetName val="old_serial no."/>
      <sheetName val="tot_ass_9697"/>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공사비_내역_(가)6"/>
      <sheetName val="Raw_Data6"/>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공사비_내역_(가)7"/>
      <sheetName val="Raw_Data7"/>
      <sheetName val="KSt_-_Analysis_7"/>
      <sheetName val="Section_Catalogue7"/>
      <sheetName val="__¢&amp;ú5#8"/>
      <sheetName val="__¢&amp;???ú5#???????8"/>
      <sheetName val="LEVEL_SHEET"/>
      <sheetName val="Form_6"/>
      <sheetName val=" &#10;¢_x0002_&amp;_x0000__x0000_"/>
      <sheetName val="Input"/>
      <sheetName val="OpTrack"/>
      <sheetName val="Erection"/>
      <sheetName val="ETC Plant Cost"/>
      <sheetName val="Array"/>
      <sheetName val="Array (2)"/>
      <sheetName val="Cumulative Karnatka Purchase"/>
      <sheetName val="Purchase---"/>
      <sheetName val="Reco- Project wise"/>
      <sheetName val="Purchase head Wise"/>
      <sheetName val="Reco"/>
      <sheetName val="List of Project"/>
      <sheetName val="Sheet5"/>
      <sheetName val="Cumulative Karnatka Purchas (2"/>
      <sheetName val="Pivot table"/>
      <sheetName val="BL Staff"/>
      <sheetName val="S1BOQ"/>
      <sheetName val="Equipment Master"/>
      <sheetName val="Material Master"/>
      <sheetName val="High Rise Abstract "/>
      <sheetName val="Eartwork Item (1.1.1)"/>
      <sheetName val="Sand Filling Item (1.3)"/>
      <sheetName val="Raft Con. M 40 Item(2.3.1 C)"/>
      <sheetName val="Raft Con. M 40 Item(2.3.1 d)"/>
      <sheetName val="Raft Shut.Item (2.6.1 a)"/>
      <sheetName val="Slab Conc. M 50 2.3.2 f"/>
      <sheetName val="Slab Conc. M 60 Item (2.3.2 d)"/>
      <sheetName val="Slab Conc. M 40 Item (2.3.2 d)"/>
      <sheetName val="Pkg - 3 staircase Kota 2.8.1.4"/>
      <sheetName val="Pkg - 3 staircase Kota 2.8.2.4"/>
      <sheetName val="Slab Shut. Item 2.5.1 (c)"/>
      <sheetName val="Col Conc. M 40 Item 2.3.3(e )"/>
      <sheetName val="Col &amp; Wall Shutt. Item(2.5.1d)"/>
      <sheetName val="Col Conc. M 50 Item 2.3.3(e)"/>
      <sheetName val="Col Conc. M 60 Item 2.3.3(f)"/>
      <sheetName val="Cir. Col. Shutt. Item(2.6.1.g)"/>
      <sheetName val="Bw 115 (3.4.1 a) Flr 1st-15th"/>
      <sheetName val="Bw 115 (3.4.1 b) 16th-28th"/>
      <sheetName val="Bw 115 (3.4.1 c) 29th-Terrace"/>
      <sheetName val="Bw 230 (3.2.1 a) Flr 1st to15th"/>
      <sheetName val="Bw 230 (3.2.1 b) Flr 16 to 28th"/>
      <sheetName val="Bw 230 (3.2.1 c) Flr 29th-Terra"/>
      <sheetName val="Water Tank Wall WP 4.3.2"/>
      <sheetName val="Core Cutting 8.17"/>
      <sheetName val="HT Wall Cemnt Plaster 6.1.1"/>
      <sheetName val="External Wall Cement plaster6.3"/>
      <sheetName val="Ceiling Cement Plaster 6.2"/>
      <sheetName val="Wood Door frame"/>
      <sheetName val="Extra Item 15(Dism. of DF)"/>
      <sheetName val="Anchor Fastner 2.11.1"/>
      <sheetName val="Item 4.1.1Railing (Pckg - 03)"/>
      <sheetName val="IPS Flooring Item 5.6"/>
      <sheetName val="Sunken Water Proofing Item 4.01"/>
      <sheetName val="Sunken Filling Item 4.10"/>
      <sheetName val="Raft Water Proofing Item 4.01A"/>
      <sheetName val="PVC water stop Item 8.8.1"/>
      <sheetName val="HT MS Sleeves 8.13"/>
      <sheetName val="Rebaring Details 2.7.5"/>
      <sheetName val="HT PVC Sleeves 8.14"/>
      <sheetName val="Chipping Item 2.7.6"/>
      <sheetName val="NITO BOND Item 2.7.7"/>
      <sheetName val="IMACO COncrete Item 2.7.8"/>
      <sheetName val="HT MS puddle Flange "/>
      <sheetName val="Full Brk Dismantling Work 9.1"/>
      <sheetName val="Half Brk Dismantling Work 9.2"/>
      <sheetName val="Conc Dismantling Work 9.3"/>
      <sheetName val="Steel Lintel 8.18.1 (i)"/>
      <sheetName val="Steel Lintel8.18.1 (ii)"/>
      <sheetName val="Steel Lintel 8.18.1 (iii)"/>
      <sheetName val="Steel Lintel 8.18.1(iv)"/>
      <sheetName val="Shaft Plaster 6.4"/>
      <sheetName val="White Wash 7.1"/>
      <sheetName val="Gypsum Plaster Wall 6.5.1"/>
      <sheetName val="Gypsum Plaster Ceiling 6.5.2"/>
      <sheetName val="Making of Khura 4.9"/>
      <sheetName val="RWP cutout encasing (13)"/>
      <sheetName val="Extra Item (11)"/>
      <sheetName val="Extra Item (12)"/>
      <sheetName val="KSt_-_Analysis_8"/>
      <sheetName val="Section_Catalogue8"/>
      <sheetName val="Deprec_8"/>
      <sheetName val="Deprec_7"/>
      <sheetName val="2_civil-RA5"/>
      <sheetName val="08_07_10ⴠ㭮㢝輜"/>
      <sheetName val="08_07_10_CIVIՌ缀"/>
      <sheetName val="Lifts_&amp;_Escal-BOQ5"/>
      <sheetName val="FIRE_BOQ5"/>
      <sheetName val="Fin__Assumpt__-_Sensitivitie5"/>
      <sheetName val="Form_65"/>
      <sheetName val="Frango_Work_sheet5"/>
      <sheetName val="TCMO_(2)5"/>
      <sheetName val="Advance_tax5"/>
      <sheetName val="Cashflow_5"/>
      <sheetName val="ITDEP_revised5"/>
      <sheetName val="Deferred_tax5"/>
      <sheetName val="grp_5"/>
      <sheetName val="Debtors_Ageing_5"/>
      <sheetName val="08_07_10헾】??헾　"/>
      <sheetName val="Rate_analysis_civil5"/>
      <sheetName val="Deprec_1"/>
      <sheetName val="2_civil-RA1"/>
      <sheetName val="Lifts_&amp;_Escal-BOQ1"/>
      <sheetName val="FIRE_BOQ1"/>
      <sheetName val="Fin__Assumpt__-_Sensitivitie1"/>
      <sheetName val="Form_61"/>
      <sheetName val="Frango_Work_sheet1"/>
      <sheetName val="TCMO_(2)1"/>
      <sheetName val="Advance_tax1"/>
      <sheetName val="Cashflow_1"/>
      <sheetName val="ITDEP_revised1"/>
      <sheetName val="Deferred_tax1"/>
      <sheetName val="grp_1"/>
      <sheetName val="Debtors_Ageing_1"/>
      <sheetName val="Rate_analysis_civil1"/>
      <sheetName val="Deprec_"/>
      <sheetName val="2_civil-RA"/>
      <sheetName val="Lifts_&amp;_Escal-BOQ"/>
      <sheetName val="FIRE_BOQ"/>
      <sheetName val="Fin__Assumpt__-_Sensitivitie"/>
      <sheetName val="Frango_Work_sheet"/>
      <sheetName val="TCMO_(2)"/>
      <sheetName val="Advance_tax"/>
      <sheetName val="Cashflow_"/>
      <sheetName val="ITDEP_revised"/>
      <sheetName val="Deferred_tax"/>
      <sheetName val="grp_"/>
      <sheetName val="Debtors_Ageing_"/>
      <sheetName val="Rate_analysis_civil"/>
      <sheetName val="__¢&amp;_x0000"/>
      <sheetName val="Deprec_6"/>
      <sheetName val="2_civil-RA4"/>
      <sheetName val="Lifts_&amp;_Escal-BOQ4"/>
      <sheetName val="FIRE_BOQ4"/>
      <sheetName val="Fin__Assumpt__-_Sensitivitie4"/>
      <sheetName val="Form_64"/>
      <sheetName val="Frango_Work_sheet4"/>
      <sheetName val="TCMO_(2)4"/>
      <sheetName val="Advance_tax4"/>
      <sheetName val="Cashflow_4"/>
      <sheetName val="ITDEP_revised4"/>
      <sheetName val="Deferred_tax4"/>
      <sheetName val="grp_4"/>
      <sheetName val="Debtors_Ageing_4"/>
      <sheetName val="Rate_analysis_civil4"/>
      <sheetName val="Deprec_3"/>
      <sheetName val="Deprec_2"/>
      <sheetName val="Deprec_4"/>
      <sheetName val="2_civil-RA2"/>
      <sheetName val="Lifts_&amp;_Escal-BOQ2"/>
      <sheetName val="FIRE_BOQ2"/>
      <sheetName val="Fin__Assumpt__-_Sensitivitie2"/>
      <sheetName val="Form_62"/>
      <sheetName val="Frango_Work_sheet2"/>
      <sheetName val="TCMO_(2)2"/>
      <sheetName val="Advance_tax2"/>
      <sheetName val="Cashflow_2"/>
      <sheetName val="ITDEP_revised2"/>
      <sheetName val="Deferred_tax2"/>
      <sheetName val="grp_2"/>
      <sheetName val="Debtors_Ageing_2"/>
      <sheetName val="Rate_analysis_civil2"/>
      <sheetName val="Deprec_5"/>
      <sheetName val="2_civil-RA3"/>
      <sheetName val="Lifts_&amp;_Escal-BOQ3"/>
      <sheetName val="FIRE_BOQ3"/>
      <sheetName val="Fin__Assumpt__-_Sensitivitie3"/>
      <sheetName val="Form_63"/>
      <sheetName val="Frango_Work_sheet3"/>
      <sheetName val="TCMO_(2)3"/>
      <sheetName val="Advance_tax3"/>
      <sheetName val="Cashflow_3"/>
      <sheetName val="ITDEP_revised3"/>
      <sheetName val="Deferred_tax3"/>
      <sheetName val="grp_3"/>
      <sheetName val="Debtors_Ageing_3"/>
      <sheetName val="Rate_analysis_civil3"/>
      <sheetName val="KSt_-_Analysis_9"/>
      <sheetName val="Section_Catalogue9"/>
      <sheetName val="Deprec_9"/>
      <sheetName val="2_civil-RA6"/>
      <sheetName val="Lifts_&amp;_Escal-BOQ6"/>
      <sheetName val="FIRE_BOQ6"/>
      <sheetName val="Fin__Assumpt__-_Sensitivitie6"/>
      <sheetName val="Form_66"/>
      <sheetName val="Frango_Work_sheet6"/>
      <sheetName val="TCMO_(2)6"/>
      <sheetName val="Advance_tax6"/>
      <sheetName val="Cashflow_6"/>
      <sheetName val="ITDEP_revised6"/>
      <sheetName val="Deferred_tax6"/>
      <sheetName val="grp_6"/>
      <sheetName val="Debtors_Ageing_6"/>
      <sheetName val="Rate_analysis_civil6"/>
      <sheetName val="KSt_-_Analysis_10"/>
      <sheetName val="Section_Catalogue10"/>
      <sheetName val="Deprec_10"/>
      <sheetName val="2_civil-RA7"/>
      <sheetName val="Lifts_&amp;_Escal-BOQ7"/>
      <sheetName val="FIRE_BOQ7"/>
      <sheetName val="Fin__Assumpt__-_Sensitivitie7"/>
      <sheetName val="Form_67"/>
      <sheetName val="Frango_Work_sheet7"/>
      <sheetName val="TCMO_(2)7"/>
      <sheetName val="Advance_tax7"/>
      <sheetName val="Cashflow_7"/>
      <sheetName val="ITDEP_revised7"/>
      <sheetName val="Deferred_tax7"/>
      <sheetName val="grp_7"/>
      <sheetName val="Debtors_Ageing_7"/>
      <sheetName val="Rate_analysis_civil7"/>
      <sheetName val="œheet3"/>
      <sheetName val="KSt_-_Analysis_12"/>
      <sheetName val="Section_Catalogue12"/>
      <sheetName val="Deprec_12"/>
      <sheetName val="2_civil-RA9"/>
      <sheetName val="Lifts_&amp;_Escal-BOQ8"/>
      <sheetName val="FIRE_BOQ8"/>
      <sheetName val="Raw_Data8"/>
      <sheetName val="Fin__Assumpt__-_Sensitivitie8"/>
      <sheetName val="Form_68"/>
      <sheetName val="Frango_Work_sheet8"/>
      <sheetName val="TCMO_(2)8"/>
      <sheetName val="Advance_tax8"/>
      <sheetName val="Cashflow_8"/>
      <sheetName val="ITDEP_revised8"/>
      <sheetName val="Deferred_tax8"/>
      <sheetName val="grp_8"/>
      <sheetName val="Debtors_Ageing_8"/>
      <sheetName val="Rate_analysis_civil8"/>
      <sheetName val="KSt_-_Analysis_11"/>
      <sheetName val="Section_Catalogue11"/>
      <sheetName val="Deprec_11"/>
      <sheetName val="2_civil-RA8"/>
      <sheetName val="KSt_-_Analysis_14"/>
      <sheetName val="Section_Catalogue14"/>
      <sheetName val="Deprec_14"/>
      <sheetName val="2_civil-RA11"/>
      <sheetName val="Frango_Work_sheet10"/>
      <sheetName val="TCMO_(2)10"/>
      <sheetName val="Advance_tax10"/>
      <sheetName val="Cashflow_10"/>
      <sheetName val="ITDEP_revised10"/>
      <sheetName val="Deferred_tax10"/>
      <sheetName val="grp_10"/>
      <sheetName val="Debtors_Ageing_10"/>
      <sheetName val="LEVEL_SHEET1"/>
      <sheetName val="Form_610"/>
      <sheetName val="Fin__Assumpt__-_Sensitivitie10"/>
      <sheetName val="Lifts_&amp;_Escal-BOQ10"/>
      <sheetName val="FIRE_BOQ10"/>
      <sheetName val="Raw_Data10"/>
      <sheetName val="Rate_analysis_civil10"/>
      <sheetName val="KSt_-_Analysis_13"/>
      <sheetName val="Section_Catalogue13"/>
      <sheetName val="Deprec_13"/>
      <sheetName val="2_civil-RA10"/>
      <sheetName val="Lifts_&amp;_Escal-BOQ9"/>
      <sheetName val="FIRE_BOQ9"/>
      <sheetName val="Raw_Data9"/>
      <sheetName val="Fin__Assumpt__-_Sensitivitie9"/>
      <sheetName val="Form_69"/>
      <sheetName val="Frango_Work_sheet9"/>
      <sheetName val="TCMO_(2)9"/>
      <sheetName val="Advance_tax9"/>
      <sheetName val="Cashflow_9"/>
      <sheetName val="ITDEP_revised9"/>
      <sheetName val="Deferred_tax9"/>
      <sheetName val="grp_9"/>
      <sheetName val="Debtors_Ageing_9"/>
      <sheetName val="Rate_analysis_civil9"/>
      <sheetName val="KSt_-_Analysis_15"/>
      <sheetName val="Section_Catalogue15"/>
      <sheetName val="Deprec_15"/>
      <sheetName val="2_civil-RA12"/>
      <sheetName val="Lifts_&amp;_Escal-BOQ11"/>
      <sheetName val="FIRE_BOQ11"/>
      <sheetName val="Raw_Data11"/>
      <sheetName val="Fin__Assumpt__-_Sensitivitie11"/>
      <sheetName val="Form_611"/>
      <sheetName val="Frango_Work_sheet11"/>
      <sheetName val="TCMO_(2)11"/>
      <sheetName val="Advance_tax11"/>
      <sheetName val="Cashflow_11"/>
      <sheetName val="ITDEP_revised11"/>
      <sheetName val="Deferred_tax11"/>
      <sheetName val="grp_11"/>
      <sheetName val="Debtors_Ageing_11"/>
      <sheetName val="Rate_analysis_civil11"/>
      <sheetName val="Eqpmnt_Pln"/>
      <sheetName val="Eqpmnt_PlnH"/>
      <sheetName val="Eqpmnt_PlnÄ"/>
      <sheetName val="CIF_COST_ITEM"/>
      <sheetName val="PointNo_5"/>
      <sheetName val="precast_RC_element"/>
      <sheetName val="General_Input"/>
      <sheetName val="08_07_10헾】??苈ô헾⼤"/>
      <sheetName val="RA_BILL_-_1"/>
      <sheetName val="Tax_Inv"/>
      <sheetName val="Tax_Inv_(Client)"/>
      <sheetName val="foot-slab_reinft"/>
      <sheetName val="LEVEL_SHEET2"/>
      <sheetName val="7_Other_Costs"/>
      <sheetName val="Vind_-_BtB"/>
      <sheetName val="_"/>
      <sheetName val="Basement_Budget"/>
      <sheetName val="WORK_TABLE"/>
      <sheetName val="KSt_-_Analysis_16"/>
      <sheetName val="Section_Catalogue16"/>
      <sheetName val="Deprec_16"/>
      <sheetName val="2_civil-RA13"/>
      <sheetName val="Lifts_&amp;_Escal-BOQ12"/>
      <sheetName val="FIRE_BOQ12"/>
      <sheetName val="Raw_Data12"/>
      <sheetName val="Fin__Assumpt__-_Sensitivitie12"/>
      <sheetName val="Form_612"/>
      <sheetName val="Frango_Work_sheet12"/>
      <sheetName val="TCMO_(2)12"/>
      <sheetName val="Advance_tax12"/>
      <sheetName val="Cashflow_12"/>
      <sheetName val="ITDEP_revised12"/>
      <sheetName val="Deferred_tax12"/>
      <sheetName val="grp_12"/>
      <sheetName val="Debtors_Ageing_12"/>
      <sheetName val="Rate_analysis_civil12"/>
      <sheetName val="Eqpmnt_PlnH1"/>
      <sheetName val="Eqpmnt_PlnÄ1"/>
      <sheetName val="CIF_COST_ITEM1"/>
      <sheetName val="PointNo_51"/>
      <sheetName val="precast_RC_element1"/>
      <sheetName val="General_Input1"/>
      <sheetName val="RA_BILL_-_11"/>
      <sheetName val="Tax_Inv1"/>
      <sheetName val="Tax_Inv_(Client)1"/>
      <sheetName val="foot-slab_reinft1"/>
      <sheetName val="LEVEL_SHEET3"/>
      <sheetName val="7_Other_Costs1"/>
      <sheetName val="Vind_-_BtB1"/>
      <sheetName val="Basement_Budget1"/>
      <sheetName val="WORK_TABLE1"/>
      <sheetName val="KSt_-_Analysis_17"/>
      <sheetName val="Section_Catalogue17"/>
      <sheetName val="Deprec_17"/>
      <sheetName val="2_civil-RA14"/>
      <sheetName val="Frango_Work_sheet13"/>
      <sheetName val="TCMO_(2)13"/>
      <sheetName val="Advance_tax13"/>
      <sheetName val="Cashflow_13"/>
      <sheetName val="ITDEP_revised13"/>
      <sheetName val="Deferred_tax13"/>
      <sheetName val="grp_13"/>
      <sheetName val="Debtors_Ageing_13"/>
      <sheetName val="LEVEL_SHEET4"/>
      <sheetName val="Form_613"/>
      <sheetName val="Fin__Assumpt__-_Sensitivitie13"/>
      <sheetName val="Lifts_&amp;_Escal-BOQ13"/>
      <sheetName val="FIRE_BOQ13"/>
      <sheetName val="Raw_Data13"/>
      <sheetName val="Rate_analysis_civil13"/>
      <sheetName val="Eqpmnt_PlnH2"/>
      <sheetName val="Eqpmnt_PlnÄ2"/>
      <sheetName val="CIF_COST_ITEM2"/>
      <sheetName val="PointNo_52"/>
      <sheetName val="precast_RC_element2"/>
      <sheetName val="General_Input2"/>
      <sheetName val="RA_BILL_-_12"/>
      <sheetName val="Tax_Inv2"/>
      <sheetName val="Tax_Inv_(Client)2"/>
      <sheetName val="foot-slab_reinft2"/>
      <sheetName val="7_Other_Costs2"/>
      <sheetName val="Vind_-_BtB2"/>
      <sheetName val="Basement_Budget2"/>
      <sheetName val="WORK_TABLE2"/>
      <sheetName val="KSt_-_Analysis_18"/>
      <sheetName val="Section_Catalogue18"/>
      <sheetName val="Deprec_18"/>
      <sheetName val="2_civil-RA15"/>
      <sheetName val="Frango_Work_sheet14"/>
      <sheetName val="TCMO_(2)14"/>
      <sheetName val="Advance_tax14"/>
      <sheetName val="Cashflow_14"/>
      <sheetName val="ITDEP_revised14"/>
      <sheetName val="Deferred_tax14"/>
      <sheetName val="grp_14"/>
      <sheetName val="Debtors_Ageing_14"/>
      <sheetName val="LEVEL_SHEET5"/>
      <sheetName val="Form_614"/>
      <sheetName val="Fin__Assumpt__-_Sensitivitie14"/>
      <sheetName val="Lifts_&amp;_Escal-BOQ14"/>
      <sheetName val="FIRE_BOQ14"/>
      <sheetName val="Raw_Data14"/>
      <sheetName val="Rate_analysis_civil14"/>
      <sheetName val="Eqpmnt_PlnH3"/>
      <sheetName val="Eqpmnt_PlnÄ3"/>
      <sheetName val="CIF_COST_ITEM3"/>
      <sheetName val="PointNo_53"/>
      <sheetName val="precast_RC_element3"/>
      <sheetName val="General_Input3"/>
      <sheetName val="RA_BILL_-_13"/>
      <sheetName val="Tax_Inv3"/>
      <sheetName val="Tax_Inv_(Client)3"/>
      <sheetName val="foot-slab_reinft3"/>
      <sheetName val="7_Other_Costs3"/>
      <sheetName val="Vind_-_BtB3"/>
      <sheetName val="Basement_Budget3"/>
      <sheetName val="WORK_TABLE3"/>
      <sheetName val="KSt_-_Analysis_19"/>
      <sheetName val="Section_Catalogue19"/>
      <sheetName val="Deprec_19"/>
      <sheetName val="2_civil-RA16"/>
      <sheetName val="Frango_Work_sheet15"/>
      <sheetName val="TCMO_(2)15"/>
      <sheetName val="Advance_tax15"/>
      <sheetName val="Cashflow_15"/>
      <sheetName val="ITDEP_revised15"/>
      <sheetName val="Deferred_tax15"/>
      <sheetName val="grp_15"/>
      <sheetName val="Debtors_Ageing_15"/>
      <sheetName val="LEVEL_SHEET6"/>
      <sheetName val="Form_615"/>
      <sheetName val="Fin__Assumpt__-_Sensitivitie15"/>
      <sheetName val="Lifts_&amp;_Escal-BOQ15"/>
      <sheetName val="FIRE_BOQ15"/>
      <sheetName val="Raw_Data15"/>
      <sheetName val="Rate_analysis_civil15"/>
      <sheetName val="Eqpmnt_PlnH4"/>
      <sheetName val="Eqpmnt_PlnÄ4"/>
      <sheetName val="CIF_COST_ITEM4"/>
      <sheetName val="PointNo_54"/>
      <sheetName val="precast_RC_element4"/>
      <sheetName val="General_Input4"/>
      <sheetName val="RA_BILL_-_14"/>
      <sheetName val="Tax_Inv4"/>
      <sheetName val="Tax_Inv_(Client)4"/>
      <sheetName val="foot-slab_reinft4"/>
      <sheetName val="7_Other_Costs4"/>
      <sheetName val="Vind_-_BtB4"/>
      <sheetName val="Basement_Budget4"/>
      <sheetName val="WORK_TABLE4"/>
      <sheetName val="As per PCA"/>
      <sheetName val=" "/>
      <sheetName val="  ¢_x0002_&amp;_x0000__x0000_"/>
    </sheetNames>
    <sheetDataSet>
      <sheetData sheetId="0"/>
      <sheetData sheetId="1" refreshError="1"/>
      <sheetData sheetId="2" refreshError="1"/>
      <sheetData sheetId="3"/>
      <sheetData sheetId="4"/>
      <sheetData sheetId="5" refreshError="1"/>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sheetData sheetId="46" refreshError="1"/>
      <sheetData sheetId="47"/>
      <sheetData sheetId="48"/>
      <sheetData sheetId="49"/>
      <sheetData sheetId="50" refreshError="1"/>
      <sheetData sheetId="51" refreshError="1"/>
      <sheetData sheetId="52"/>
      <sheetData sheetId="53"/>
      <sheetData sheetId="54"/>
      <sheetData sheetId="55" refreshError="1"/>
      <sheetData sheetId="56"/>
      <sheetData sheetId="57" refreshError="1"/>
      <sheetData sheetId="58"/>
      <sheetData sheetId="59" refreshError="1"/>
      <sheetData sheetId="60" refreshError="1"/>
      <sheetData sheetId="61" refreshError="1"/>
      <sheetData sheetId="62" refreshError="1"/>
      <sheetData sheetId="63"/>
      <sheetData sheetId="64"/>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refreshError="1"/>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refreshError="1"/>
      <sheetData sheetId="309" refreshError="1"/>
      <sheetData sheetId="310" refreshError="1"/>
      <sheetData sheetId="311"/>
      <sheetData sheetId="312" refreshError="1"/>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sheetData sheetId="605"/>
      <sheetData sheetId="606" refreshError="1"/>
      <sheetData sheetId="607" refreshError="1"/>
      <sheetData sheetId="608" refreshError="1"/>
      <sheetData sheetId="609" refreshError="1"/>
      <sheetData sheetId="610" refreshError="1"/>
      <sheetData sheetId="611"/>
      <sheetData sheetId="612"/>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sheetData sheetId="623" refreshError="1"/>
      <sheetData sheetId="624"/>
      <sheetData sheetId="625" refreshError="1"/>
      <sheetData sheetId="626" refreshError="1"/>
      <sheetData sheetId="627"/>
      <sheetData sheetId="628"/>
      <sheetData sheetId="629"/>
      <sheetData sheetId="630"/>
      <sheetData sheetId="631"/>
      <sheetData sheetId="632"/>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sheetData sheetId="957"/>
      <sheetData sheetId="958"/>
      <sheetData sheetId="959"/>
      <sheetData sheetId="960" refreshError="1"/>
      <sheetData sheetId="961"/>
      <sheetData sheetId="962" refreshError="1"/>
      <sheetData sheetId="963" refreshError="1"/>
      <sheetData sheetId="964" refreshError="1"/>
      <sheetData sheetId="965"/>
      <sheetData sheetId="966" refreshError="1"/>
      <sheetData sheetId="967"/>
      <sheetData sheetId="968"/>
      <sheetData sheetId="969"/>
      <sheetData sheetId="970"/>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sheetData sheetId="1395" refreshError="1"/>
      <sheetData sheetId="1396" refreshError="1"/>
      <sheetData sheetId="1397"/>
      <sheetData sheetId="1398"/>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sheetData sheetId="1413"/>
      <sheetData sheetId="1414" refreshError="1"/>
      <sheetData sheetId="1415" refreshError="1"/>
      <sheetData sheetId="1416" refreshError="1"/>
      <sheetData sheetId="1417" refreshError="1"/>
      <sheetData sheetId="1418" refreshError="1"/>
      <sheetData sheetId="1419" refreshError="1"/>
      <sheetData sheetId="1420" refreshError="1"/>
      <sheetData sheetId="142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sheetData sheetId="7451"/>
      <sheetData sheetId="7452"/>
      <sheetData sheetId="7453"/>
      <sheetData sheetId="7454"/>
      <sheetData sheetId="7455"/>
      <sheetData sheetId="7456"/>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refreshError="1"/>
      <sheetData sheetId="7880" refreshError="1"/>
      <sheetData sheetId="7881"/>
      <sheetData sheetId="7882"/>
      <sheetData sheetId="7883" refreshError="1"/>
      <sheetData sheetId="7884" refreshError="1"/>
      <sheetData sheetId="7885"/>
      <sheetData sheetId="7886"/>
      <sheetData sheetId="7887" refreshError="1"/>
      <sheetData sheetId="7888" refreshError="1"/>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sheetData sheetId="8618"/>
      <sheetData sheetId="8619"/>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sheetData sheetId="8644"/>
      <sheetData sheetId="8645"/>
      <sheetData sheetId="8646"/>
      <sheetData sheetId="8647"/>
      <sheetData sheetId="8648"/>
      <sheetData sheetId="8649"/>
      <sheetData sheetId="8650"/>
      <sheetData sheetId="8651"/>
      <sheetData sheetId="8652"/>
      <sheetData sheetId="8653"/>
      <sheetData sheetId="8654"/>
      <sheetData sheetId="8655"/>
      <sheetData sheetId="8656"/>
      <sheetData sheetId="8657"/>
      <sheetData sheetId="8658"/>
      <sheetData sheetId="8659"/>
      <sheetData sheetId="8660"/>
      <sheetData sheetId="8661"/>
      <sheetData sheetId="8662"/>
      <sheetData sheetId="8663"/>
      <sheetData sheetId="8664"/>
      <sheetData sheetId="8665"/>
      <sheetData sheetId="8666"/>
      <sheetData sheetId="8667"/>
      <sheetData sheetId="8668"/>
      <sheetData sheetId="8669"/>
      <sheetData sheetId="8670"/>
      <sheetData sheetId="8671"/>
      <sheetData sheetId="8672"/>
      <sheetData sheetId="8673"/>
      <sheetData sheetId="8674"/>
      <sheetData sheetId="8675"/>
      <sheetData sheetId="8676"/>
      <sheetData sheetId="8677"/>
      <sheetData sheetId="8678"/>
      <sheetData sheetId="8679"/>
      <sheetData sheetId="8680"/>
      <sheetData sheetId="8681"/>
      <sheetData sheetId="8682"/>
      <sheetData sheetId="8683"/>
      <sheetData sheetId="8684"/>
      <sheetData sheetId="8685"/>
      <sheetData sheetId="8686"/>
      <sheetData sheetId="8687"/>
      <sheetData sheetId="8688"/>
      <sheetData sheetId="8689"/>
      <sheetData sheetId="8690"/>
      <sheetData sheetId="8691"/>
      <sheetData sheetId="8692"/>
      <sheetData sheetId="8693"/>
      <sheetData sheetId="8694"/>
      <sheetData sheetId="8695"/>
      <sheetData sheetId="8696"/>
      <sheetData sheetId="8697"/>
      <sheetData sheetId="8698"/>
      <sheetData sheetId="8699"/>
      <sheetData sheetId="8700"/>
      <sheetData sheetId="8701"/>
      <sheetData sheetId="8702"/>
      <sheetData sheetId="8703"/>
      <sheetData sheetId="8704"/>
      <sheetData sheetId="8705"/>
      <sheetData sheetId="8706"/>
      <sheetData sheetId="8707"/>
      <sheetData sheetId="8708"/>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efreshError="1"/>
      <sheetData sheetId="9784" refreshError="1"/>
      <sheetData sheetId="9785" refreshError="1"/>
      <sheetData sheetId="9786" refreshError="1"/>
      <sheetData sheetId="9787" refreshError="1"/>
      <sheetData sheetId="9788" refreshError="1"/>
      <sheetData sheetId="9789" refreshError="1"/>
      <sheetData sheetId="9790" refreshError="1"/>
      <sheetData sheetId="9791" refreshError="1"/>
      <sheetData sheetId="9792" refreshError="1"/>
      <sheetData sheetId="9793" refreshError="1"/>
      <sheetData sheetId="9794" refreshError="1"/>
      <sheetData sheetId="9795" refreshError="1"/>
      <sheetData sheetId="9796" refreshError="1"/>
      <sheetData sheetId="9797" refreshError="1"/>
      <sheetData sheetId="9798" refreshError="1"/>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sheetData sheetId="9813" refreshError="1"/>
      <sheetData sheetId="9814"/>
      <sheetData sheetId="9815"/>
      <sheetData sheetId="9816"/>
      <sheetData sheetId="9817"/>
      <sheetData sheetId="9818"/>
      <sheetData sheetId="9819"/>
      <sheetData sheetId="9820"/>
      <sheetData sheetId="9821" refreshError="1"/>
      <sheetData sheetId="9822" refreshError="1"/>
      <sheetData sheetId="9823" refreshError="1"/>
      <sheetData sheetId="9824"/>
      <sheetData sheetId="9825"/>
      <sheetData sheetId="9826"/>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sheetData sheetId="10284" refreshError="1"/>
      <sheetData sheetId="10285" refreshError="1"/>
      <sheetData sheetId="10286" refreshError="1"/>
      <sheetData sheetId="10287" refreshError="1"/>
      <sheetData sheetId="10288" refreshError="1"/>
      <sheetData sheetId="10289"/>
      <sheetData sheetId="10290" refreshError="1"/>
      <sheetData sheetId="10291" refreshError="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refreshError="1"/>
      <sheetData sheetId="10599" refreshError="1"/>
      <sheetData sheetId="10600" refreshError="1"/>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refreshError="1"/>
      <sheetData sheetId="10988" refreshError="1"/>
      <sheetData sheetId="10989" refreshError="1"/>
      <sheetData sheetId="10990" refreshError="1"/>
      <sheetData sheetId="10991" refreshError="1"/>
      <sheetData sheetId="10992"/>
      <sheetData sheetId="10993"/>
      <sheetData sheetId="10994"/>
      <sheetData sheetId="10995" refreshError="1"/>
      <sheetData sheetId="10996" refreshError="1"/>
      <sheetData sheetId="10997" refreshError="1"/>
      <sheetData sheetId="10998" refreshError="1"/>
      <sheetData sheetId="10999" refreshError="1"/>
      <sheetData sheetId="11000" refreshError="1"/>
      <sheetData sheetId="11001" refreshError="1"/>
      <sheetData sheetId="11002" refreshError="1"/>
      <sheetData sheetId="11003" refreshError="1"/>
      <sheetData sheetId="11004" refreshError="1"/>
      <sheetData sheetId="11005" refreshError="1"/>
      <sheetData sheetId="11006" refreshError="1"/>
      <sheetData sheetId="11007" refreshError="1"/>
      <sheetData sheetId="11008" refreshError="1"/>
      <sheetData sheetId="11009" refreshError="1"/>
      <sheetData sheetId="11010" refreshError="1"/>
      <sheetData sheetId="11011" refreshError="1"/>
      <sheetData sheetId="11012" refreshError="1"/>
      <sheetData sheetId="11013" refreshError="1"/>
      <sheetData sheetId="11014" refreshError="1"/>
      <sheetData sheetId="11015" refreshError="1"/>
      <sheetData sheetId="11016" refreshError="1"/>
      <sheetData sheetId="11017" refreshError="1"/>
      <sheetData sheetId="11018" refreshError="1"/>
      <sheetData sheetId="11019" refreshError="1"/>
      <sheetData sheetId="11020" refreshError="1"/>
      <sheetData sheetId="11021" refreshError="1"/>
      <sheetData sheetId="11022" refreshError="1"/>
      <sheetData sheetId="11023" refreshError="1"/>
      <sheetData sheetId="11024" refreshError="1"/>
      <sheetData sheetId="11025" refreshError="1"/>
      <sheetData sheetId="11026" refreshError="1"/>
      <sheetData sheetId="11027" refreshError="1"/>
      <sheetData sheetId="11028" refreshError="1"/>
      <sheetData sheetId="11029" refreshError="1"/>
      <sheetData sheetId="11030" refreshError="1"/>
      <sheetData sheetId="11031" refreshError="1"/>
      <sheetData sheetId="11032" refreshError="1"/>
      <sheetData sheetId="11033" refreshError="1"/>
      <sheetData sheetId="11034" refreshError="1"/>
      <sheetData sheetId="11035" refreshError="1"/>
      <sheetData sheetId="11036" refreshError="1"/>
      <sheetData sheetId="11037" refreshError="1"/>
      <sheetData sheetId="11038" refreshError="1"/>
      <sheetData sheetId="11039" refreshError="1"/>
      <sheetData sheetId="11040" refreshError="1"/>
      <sheetData sheetId="11041" refreshError="1"/>
      <sheetData sheetId="11042" refreshError="1"/>
      <sheetData sheetId="11043" refreshError="1"/>
      <sheetData sheetId="11044" refreshError="1"/>
      <sheetData sheetId="11045" refreshError="1"/>
      <sheetData sheetId="11046" refreshError="1"/>
      <sheetData sheetId="11047" refreshError="1"/>
      <sheetData sheetId="11048" refreshError="1"/>
      <sheetData sheetId="11049" refreshError="1"/>
      <sheetData sheetId="11050" refreshError="1"/>
      <sheetData sheetId="11051" refreshError="1"/>
      <sheetData sheetId="11052" refreshError="1"/>
      <sheetData sheetId="11053" refreshError="1"/>
      <sheetData sheetId="11054" refreshError="1"/>
      <sheetData sheetId="11055" refreshError="1"/>
      <sheetData sheetId="11056" refreshError="1"/>
      <sheetData sheetId="11057" refreshError="1"/>
      <sheetData sheetId="11058" refreshError="1"/>
      <sheetData sheetId="11059" refreshError="1"/>
      <sheetData sheetId="11060" refreshError="1"/>
      <sheetData sheetId="11061" refreshError="1"/>
      <sheetData sheetId="11062" refreshError="1"/>
      <sheetData sheetId="11063" refreshError="1"/>
      <sheetData sheetId="11064" refreshError="1"/>
      <sheetData sheetId="11065" refreshError="1"/>
      <sheetData sheetId="11066" refreshError="1"/>
      <sheetData sheetId="11067" refreshError="1"/>
      <sheetData sheetId="11068" refreshError="1"/>
      <sheetData sheetId="11069" refreshError="1"/>
      <sheetData sheetId="11070" refreshError="1"/>
      <sheetData sheetId="11071" refreshError="1"/>
      <sheetData sheetId="11072" refreshError="1"/>
      <sheetData sheetId="11073" refreshError="1"/>
      <sheetData sheetId="11074" refreshError="1"/>
      <sheetData sheetId="11075" refreshError="1"/>
      <sheetData sheetId="11076" refreshError="1"/>
      <sheetData sheetId="11077" refreshError="1"/>
      <sheetData sheetId="11078" refreshError="1"/>
      <sheetData sheetId="11079" refreshError="1"/>
      <sheetData sheetId="11080" refreshError="1"/>
      <sheetData sheetId="11081" refreshError="1"/>
      <sheetData sheetId="11082" refreshError="1"/>
      <sheetData sheetId="11083" refreshError="1"/>
      <sheetData sheetId="11084" refreshError="1"/>
      <sheetData sheetId="11085" refreshError="1"/>
      <sheetData sheetId="11086" refreshError="1"/>
      <sheetData sheetId="11087" refreshError="1"/>
      <sheetData sheetId="11088" refreshError="1"/>
      <sheetData sheetId="11089" refreshError="1"/>
      <sheetData sheetId="11090" refreshError="1"/>
      <sheetData sheetId="11091" refreshError="1"/>
      <sheetData sheetId="11092" refreshError="1"/>
      <sheetData sheetId="11093" refreshError="1"/>
      <sheetData sheetId="11094" refreshError="1"/>
      <sheetData sheetId="11095" refreshError="1"/>
      <sheetData sheetId="11096" refreshError="1"/>
      <sheetData sheetId="11097" refreshError="1"/>
      <sheetData sheetId="11098" refreshError="1"/>
      <sheetData sheetId="11099" refreshError="1"/>
      <sheetData sheetId="11100" refreshError="1"/>
      <sheetData sheetId="11101" refreshError="1"/>
      <sheetData sheetId="11102" refreshError="1"/>
      <sheetData sheetId="11103" refreshError="1"/>
      <sheetData sheetId="11104" refreshError="1"/>
      <sheetData sheetId="11105" refreshError="1"/>
      <sheetData sheetId="11106" refreshError="1"/>
      <sheetData sheetId="11107" refreshError="1"/>
      <sheetData sheetId="11108" refreshError="1"/>
      <sheetData sheetId="11109" refreshError="1"/>
      <sheetData sheetId="11110" refreshError="1"/>
      <sheetData sheetId="11111" refreshError="1"/>
      <sheetData sheetId="11112" refreshError="1"/>
      <sheetData sheetId="11113" refreshError="1"/>
      <sheetData sheetId="11114" refreshError="1"/>
      <sheetData sheetId="11115" refreshError="1"/>
      <sheetData sheetId="11116" refreshError="1"/>
      <sheetData sheetId="11117" refreshError="1"/>
      <sheetData sheetId="11118" refreshError="1"/>
      <sheetData sheetId="11119" refreshError="1"/>
      <sheetData sheetId="11120" refreshError="1"/>
      <sheetData sheetId="11121" refreshError="1"/>
      <sheetData sheetId="11122" refreshError="1"/>
      <sheetData sheetId="11123" refreshError="1"/>
      <sheetData sheetId="11124" refreshError="1"/>
      <sheetData sheetId="11125" refreshError="1"/>
      <sheetData sheetId="11126" refreshError="1"/>
      <sheetData sheetId="11127" refreshError="1"/>
      <sheetData sheetId="11128" refreshError="1"/>
      <sheetData sheetId="11129" refreshError="1"/>
      <sheetData sheetId="11130" refreshError="1"/>
      <sheetData sheetId="11131" refreshError="1"/>
      <sheetData sheetId="11132" refreshError="1"/>
      <sheetData sheetId="11133" refreshError="1"/>
      <sheetData sheetId="11134" refreshError="1"/>
      <sheetData sheetId="11135" refreshError="1"/>
      <sheetData sheetId="11136" refreshError="1"/>
      <sheetData sheetId="11137" refreshError="1"/>
      <sheetData sheetId="11138" refreshError="1"/>
      <sheetData sheetId="11139" refreshError="1"/>
      <sheetData sheetId="11140" refreshError="1"/>
      <sheetData sheetId="11141" refreshError="1"/>
      <sheetData sheetId="11142" refreshError="1"/>
      <sheetData sheetId="11143" refreshError="1"/>
      <sheetData sheetId="11144" refreshError="1"/>
      <sheetData sheetId="11145" refreshError="1"/>
      <sheetData sheetId="11146" refreshError="1"/>
      <sheetData sheetId="11147" refreshError="1"/>
      <sheetData sheetId="11148" refreshError="1"/>
      <sheetData sheetId="11149" refreshError="1"/>
      <sheetData sheetId="11150" refreshError="1"/>
      <sheetData sheetId="11151" refreshError="1"/>
      <sheetData sheetId="11152" refreshError="1"/>
      <sheetData sheetId="11153" refreshError="1"/>
      <sheetData sheetId="11154" refreshError="1"/>
      <sheetData sheetId="11155" refreshError="1"/>
      <sheetData sheetId="11156" refreshError="1"/>
      <sheetData sheetId="11157" refreshError="1"/>
      <sheetData sheetId="11158" refreshError="1"/>
      <sheetData sheetId="11159" refreshError="1"/>
      <sheetData sheetId="11160" refreshError="1"/>
      <sheetData sheetId="11161" refreshError="1"/>
      <sheetData sheetId="11162" refreshError="1"/>
      <sheetData sheetId="11163" refreshError="1"/>
      <sheetData sheetId="11164" refreshError="1"/>
      <sheetData sheetId="11165" refreshError="1"/>
      <sheetData sheetId="11166" refreshError="1"/>
      <sheetData sheetId="11167" refreshError="1"/>
      <sheetData sheetId="11168" refreshError="1"/>
      <sheetData sheetId="11169" refreshError="1"/>
      <sheetData sheetId="11170" refreshError="1"/>
      <sheetData sheetId="11171" refreshError="1"/>
      <sheetData sheetId="11172" refreshError="1"/>
      <sheetData sheetId="11173" refreshError="1"/>
      <sheetData sheetId="11174" refreshError="1"/>
      <sheetData sheetId="11175" refreshError="1"/>
      <sheetData sheetId="11176" refreshError="1"/>
      <sheetData sheetId="11177" refreshError="1"/>
      <sheetData sheetId="11178" refreshError="1"/>
      <sheetData sheetId="11179" refreshError="1"/>
      <sheetData sheetId="11180" refreshError="1"/>
      <sheetData sheetId="11181" refreshError="1"/>
      <sheetData sheetId="11182" refreshError="1"/>
      <sheetData sheetId="11183" refreshError="1"/>
      <sheetData sheetId="11184" refreshError="1"/>
      <sheetData sheetId="11185" refreshError="1"/>
      <sheetData sheetId="11186" refreshError="1"/>
      <sheetData sheetId="11187" refreshError="1"/>
      <sheetData sheetId="11188" refreshError="1"/>
      <sheetData sheetId="11189" refreshError="1"/>
      <sheetData sheetId="11190" refreshError="1"/>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refreshError="1"/>
      <sheetData sheetId="11205" refreshError="1"/>
      <sheetData sheetId="11206" refreshError="1"/>
      <sheetData sheetId="11207" refreshError="1"/>
      <sheetData sheetId="11208" refreshError="1"/>
      <sheetData sheetId="11209" refreshError="1"/>
      <sheetData sheetId="11210" refreshError="1"/>
      <sheetData sheetId="11211" refreshError="1"/>
      <sheetData sheetId="11212" refreshError="1"/>
      <sheetData sheetId="11213" refreshError="1"/>
      <sheetData sheetId="11214" refreshError="1"/>
      <sheetData sheetId="11215" refreshError="1"/>
      <sheetData sheetId="11216" refreshError="1"/>
      <sheetData sheetId="11217" refreshError="1"/>
      <sheetData sheetId="11218" refreshError="1"/>
      <sheetData sheetId="11219" refreshError="1"/>
      <sheetData sheetId="11220" refreshError="1"/>
      <sheetData sheetId="11221" refreshError="1"/>
      <sheetData sheetId="11222" refreshError="1"/>
      <sheetData sheetId="11223" refreshError="1"/>
      <sheetData sheetId="11224" refreshError="1"/>
      <sheetData sheetId="11225" refreshError="1"/>
      <sheetData sheetId="11226" refreshError="1"/>
      <sheetData sheetId="11227" refreshError="1"/>
      <sheetData sheetId="11228" refreshError="1"/>
      <sheetData sheetId="11229" refreshError="1"/>
      <sheetData sheetId="11230" refreshError="1"/>
      <sheetData sheetId="11231" refreshError="1"/>
      <sheetData sheetId="11232" refreshError="1"/>
      <sheetData sheetId="11233" refreshError="1"/>
      <sheetData sheetId="11234" refreshError="1"/>
      <sheetData sheetId="11235" refreshError="1"/>
      <sheetData sheetId="11236" refreshError="1"/>
      <sheetData sheetId="11237" refreshError="1"/>
      <sheetData sheetId="11238" refreshError="1"/>
      <sheetData sheetId="11239" refreshError="1"/>
      <sheetData sheetId="11240" refreshError="1"/>
      <sheetData sheetId="11241" refreshError="1"/>
      <sheetData sheetId="11242" refreshError="1"/>
      <sheetData sheetId="11243" refreshError="1"/>
      <sheetData sheetId="11244" refreshError="1"/>
      <sheetData sheetId="11245" refreshError="1"/>
      <sheetData sheetId="11246" refreshError="1"/>
      <sheetData sheetId="11247" refreshError="1"/>
      <sheetData sheetId="11248" refreshError="1"/>
      <sheetData sheetId="11249" refreshError="1"/>
      <sheetData sheetId="11250" refreshError="1"/>
      <sheetData sheetId="11251" refreshError="1"/>
      <sheetData sheetId="11252" refreshError="1"/>
      <sheetData sheetId="11253" refreshError="1"/>
      <sheetData sheetId="11254" refreshError="1"/>
      <sheetData sheetId="11255" refreshError="1"/>
      <sheetData sheetId="11256" refreshError="1"/>
      <sheetData sheetId="11257" refreshError="1"/>
      <sheetData sheetId="11258" refreshError="1"/>
      <sheetData sheetId="11259" refreshError="1"/>
      <sheetData sheetId="11260" refreshError="1"/>
      <sheetData sheetId="11261" refreshError="1"/>
      <sheetData sheetId="11262" refreshError="1"/>
      <sheetData sheetId="11263" refreshError="1"/>
      <sheetData sheetId="11264" refreshError="1"/>
      <sheetData sheetId="11265" refreshError="1"/>
      <sheetData sheetId="11266" refreshError="1"/>
      <sheetData sheetId="11267" refreshError="1"/>
      <sheetData sheetId="11268" refreshError="1"/>
      <sheetData sheetId="11269" refreshError="1"/>
      <sheetData sheetId="11270" refreshError="1"/>
      <sheetData sheetId="11271" refreshError="1"/>
      <sheetData sheetId="11272" refreshError="1"/>
      <sheetData sheetId="11273" refreshError="1"/>
      <sheetData sheetId="11274" refreshError="1"/>
      <sheetData sheetId="11275" refreshError="1"/>
      <sheetData sheetId="11276" refreshError="1"/>
      <sheetData sheetId="11277" refreshError="1"/>
      <sheetData sheetId="11278" refreshError="1"/>
      <sheetData sheetId="11279" refreshError="1"/>
      <sheetData sheetId="11280" refreshError="1"/>
      <sheetData sheetId="11281" refreshError="1"/>
      <sheetData sheetId="11282" refreshError="1"/>
      <sheetData sheetId="11283" refreshError="1"/>
      <sheetData sheetId="11284" refreshError="1"/>
      <sheetData sheetId="11285" refreshError="1"/>
      <sheetData sheetId="11286" refreshError="1"/>
      <sheetData sheetId="11287" refreshError="1"/>
      <sheetData sheetId="11288" refreshError="1"/>
      <sheetData sheetId="11289" refreshError="1"/>
      <sheetData sheetId="11290" refreshError="1"/>
      <sheetData sheetId="11291" refreshError="1"/>
      <sheetData sheetId="11292" refreshError="1"/>
      <sheetData sheetId="11293" refreshError="1"/>
      <sheetData sheetId="11294" refreshError="1"/>
      <sheetData sheetId="11295" refreshError="1"/>
      <sheetData sheetId="11296" refreshError="1"/>
      <sheetData sheetId="11297" refreshError="1"/>
      <sheetData sheetId="11298" refreshError="1"/>
      <sheetData sheetId="11299" refreshError="1"/>
      <sheetData sheetId="11300" refreshError="1"/>
      <sheetData sheetId="11301" refreshError="1"/>
      <sheetData sheetId="11302" refreshError="1"/>
      <sheetData sheetId="11303" refreshError="1"/>
      <sheetData sheetId="11304" refreshError="1"/>
      <sheetData sheetId="11305" refreshError="1"/>
      <sheetData sheetId="11306" refreshError="1"/>
      <sheetData sheetId="11307" refreshError="1"/>
      <sheetData sheetId="11308" refreshError="1"/>
      <sheetData sheetId="11309" refreshError="1"/>
      <sheetData sheetId="11310" refreshError="1"/>
      <sheetData sheetId="11311" refreshError="1"/>
      <sheetData sheetId="11312" refreshError="1"/>
      <sheetData sheetId="11313" refreshError="1"/>
      <sheetData sheetId="11314" refreshError="1"/>
      <sheetData sheetId="11315" refreshError="1"/>
      <sheetData sheetId="11316" refreshError="1"/>
      <sheetData sheetId="11317" refreshError="1"/>
      <sheetData sheetId="11318" refreshError="1"/>
      <sheetData sheetId="11319" refreshError="1"/>
      <sheetData sheetId="11320" refreshError="1"/>
      <sheetData sheetId="11321" refreshError="1"/>
      <sheetData sheetId="11322" refreshError="1"/>
      <sheetData sheetId="11323" refreshError="1"/>
      <sheetData sheetId="11324" refreshError="1"/>
      <sheetData sheetId="11325" refreshError="1"/>
      <sheetData sheetId="11326" refreshError="1"/>
      <sheetData sheetId="11327" refreshError="1"/>
      <sheetData sheetId="11328" refreshError="1"/>
      <sheetData sheetId="11329" refreshError="1"/>
      <sheetData sheetId="11330" refreshError="1"/>
      <sheetData sheetId="11331" refreshError="1"/>
      <sheetData sheetId="11332" refreshError="1"/>
      <sheetData sheetId="11333" refreshError="1"/>
      <sheetData sheetId="11334" refreshError="1"/>
      <sheetData sheetId="11335" refreshError="1"/>
      <sheetData sheetId="11336" refreshError="1"/>
      <sheetData sheetId="11337" refreshError="1"/>
      <sheetData sheetId="11338" refreshError="1"/>
      <sheetData sheetId="11339" refreshError="1"/>
      <sheetData sheetId="11340" refreshError="1"/>
      <sheetData sheetId="11341" refreshError="1"/>
      <sheetData sheetId="11342" refreshError="1"/>
      <sheetData sheetId="11343" refreshError="1"/>
      <sheetData sheetId="11344" refreshError="1"/>
      <sheetData sheetId="11345" refreshError="1"/>
      <sheetData sheetId="11346" refreshError="1"/>
      <sheetData sheetId="11347" refreshError="1"/>
      <sheetData sheetId="11348" refreshError="1"/>
      <sheetData sheetId="11349" refreshError="1"/>
      <sheetData sheetId="11350" refreshError="1"/>
      <sheetData sheetId="11351" refreshError="1"/>
      <sheetData sheetId="11352" refreshError="1"/>
      <sheetData sheetId="11353" refreshError="1"/>
      <sheetData sheetId="11354" refreshError="1"/>
      <sheetData sheetId="11355" refreshError="1"/>
      <sheetData sheetId="11356" refreshError="1"/>
      <sheetData sheetId="11357" refreshError="1"/>
      <sheetData sheetId="11358" refreshError="1"/>
      <sheetData sheetId="11359" refreshError="1"/>
      <sheetData sheetId="11360" refreshError="1"/>
      <sheetData sheetId="11361" refreshError="1"/>
      <sheetData sheetId="11362" refreshError="1"/>
      <sheetData sheetId="11363" refreshError="1"/>
      <sheetData sheetId="11364" refreshError="1"/>
      <sheetData sheetId="11365" refreshError="1"/>
      <sheetData sheetId="11366" refreshError="1"/>
      <sheetData sheetId="11367" refreshError="1"/>
      <sheetData sheetId="11368" refreshError="1"/>
      <sheetData sheetId="11369" refreshError="1"/>
      <sheetData sheetId="11370" refreshError="1"/>
      <sheetData sheetId="11371" refreshError="1"/>
      <sheetData sheetId="11372" refreshError="1"/>
      <sheetData sheetId="11373" refreshError="1"/>
      <sheetData sheetId="11374" refreshError="1"/>
      <sheetData sheetId="11375" refreshError="1"/>
      <sheetData sheetId="11376" refreshError="1"/>
      <sheetData sheetId="11377" refreshError="1"/>
      <sheetData sheetId="11378" refreshError="1"/>
      <sheetData sheetId="11379" refreshError="1"/>
      <sheetData sheetId="11380" refreshError="1"/>
      <sheetData sheetId="11381" refreshError="1"/>
      <sheetData sheetId="11382" refreshError="1"/>
      <sheetData sheetId="11383" refreshError="1"/>
      <sheetData sheetId="11384" refreshError="1"/>
      <sheetData sheetId="11385" refreshError="1"/>
      <sheetData sheetId="11386" refreshError="1"/>
      <sheetData sheetId="11387" refreshError="1"/>
      <sheetData sheetId="11388" refreshError="1"/>
      <sheetData sheetId="11389" refreshError="1"/>
      <sheetData sheetId="11390" refreshError="1"/>
      <sheetData sheetId="11391" refreshError="1"/>
      <sheetData sheetId="11392" refreshError="1"/>
      <sheetData sheetId="11393" refreshError="1"/>
      <sheetData sheetId="11394" refreshError="1"/>
      <sheetData sheetId="11395" refreshError="1"/>
      <sheetData sheetId="11396" refreshError="1"/>
      <sheetData sheetId="11397" refreshError="1"/>
      <sheetData sheetId="11398" refreshError="1"/>
      <sheetData sheetId="11399" refreshError="1"/>
      <sheetData sheetId="11400" refreshError="1"/>
      <sheetData sheetId="11401" refreshError="1"/>
      <sheetData sheetId="11402" refreshError="1"/>
      <sheetData sheetId="11403" refreshError="1"/>
      <sheetData sheetId="11404" refreshError="1"/>
      <sheetData sheetId="11405" refreshError="1"/>
      <sheetData sheetId="11406" refreshError="1"/>
      <sheetData sheetId="11407" refreshError="1"/>
      <sheetData sheetId="11408" refreshError="1"/>
      <sheetData sheetId="11409" refreshError="1"/>
      <sheetData sheetId="11410" refreshError="1"/>
      <sheetData sheetId="11411" refreshError="1"/>
      <sheetData sheetId="11412" refreshError="1"/>
      <sheetData sheetId="11413" refreshError="1"/>
      <sheetData sheetId="11414" refreshError="1"/>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efreshError="1"/>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refreshError="1"/>
      <sheetData sheetId="11459" refreshError="1"/>
      <sheetData sheetId="11460" refreshError="1"/>
      <sheetData sheetId="11461" refreshError="1"/>
      <sheetData sheetId="11462" refreshError="1"/>
      <sheetData sheetId="11463" refreshError="1"/>
      <sheetData sheetId="11464" refreshError="1"/>
      <sheetData sheetId="11465" refreshError="1"/>
      <sheetData sheetId="11466" refreshError="1"/>
      <sheetData sheetId="11467" refreshError="1"/>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refreshError="1"/>
      <sheetData sheetId="11481" refreshError="1"/>
      <sheetData sheetId="11482" refreshError="1"/>
      <sheetData sheetId="11483" refreshError="1"/>
      <sheetData sheetId="11484" refreshError="1"/>
      <sheetData sheetId="11485" refreshError="1"/>
      <sheetData sheetId="11486" refreshError="1"/>
      <sheetData sheetId="11487" refreshError="1"/>
      <sheetData sheetId="11488" refreshError="1"/>
      <sheetData sheetId="11489" refreshError="1"/>
    </sheetDataSet>
  </externalBook>
</externalLink>
</file>

<file path=xl/externalLinks/externalLink80.xml><?xml version="1.0" encoding="utf-8"?>
<externalLink xmlns="http://schemas.openxmlformats.org/spreadsheetml/2006/main">
  <externalBook xmlns:r="http://schemas.openxmlformats.org/officeDocument/2006/relationships" r:id="rId1">
    <sheetNames>
      <sheetName val=" top 2B cer "/>
      <sheetName val="CIVIL abs II B CER  "/>
      <sheetName val="landscaping"/>
      <sheetName val="CUSTOMER WORKS "/>
      <sheetName val="Sales rate sheet"/>
      <sheetName val="2B specialised  "/>
      <sheetName val="2b BACKFILLING"/>
      <sheetName val="ANTI TERMITE sol"/>
      <sheetName val="PCC"/>
      <sheetName val="RCC,FDN"/>
      <sheetName val="RCC,COL"/>
      <sheetName val="RCC SEPTIC TANK"/>
      <sheetName val="RCC SLAB"/>
      <sheetName val="F.ESCAPE ST.RCC"/>
      <sheetName val="RCC,Ret. Wall"/>
      <sheetName val="RCC,WALL"/>
      <sheetName val="CABL TRE,RCC"/>
      <sheetName val="rcc lintels"/>
      <sheetName val="TUNNEL,RCC"/>
      <sheetName val="SWD  RCC"/>
      <sheetName val="RCC PLINTH BEAM "/>
      <sheetName val="sump,RCC"/>
      <sheetName val="SHU,FDN"/>
      <sheetName val="SHU,COL"/>
      <sheetName val="SHU,WALL"/>
      <sheetName val="SWD shu"/>
      <sheetName val="SHU PLINTH BEAMS "/>
      <sheetName val="ShUTTER LINTEL"/>
      <sheetName val="SHU,SLAB  "/>
      <sheetName val="shu.re.wall"/>
      <sheetName val="shu,stair"/>
      <sheetName val="s.tank sh"/>
      <sheetName val="TUNNEL,SHU"/>
      <sheetName val="cabl tren,shu"/>
      <sheetName val="SUMP,SHUT"/>
      <sheetName val="prestressing"/>
      <sheetName val="precast"/>
      <sheetName val="BLOCKWORK"/>
      <sheetName val="Plastering"/>
      <sheetName val="Brickbat jelly"/>
      <sheetName val="IPS"/>
      <sheetName val="Screed"/>
      <sheetName val="POP"/>
      <sheetName val="WATERP."/>
      <sheetName val="MIsc_POLYETH. SHEET"/>
      <sheetName val="structural"/>
      <sheetName val="TEMP."/>
      <sheetName val="Drawings "/>
      <sheetName val="rework claim status "/>
      <sheetName val="project data sheet"/>
      <sheetName val="figures"/>
      <sheetName val="2B landscaping meas sheet"/>
      <sheetName val="hanging restaurant area modi"/>
      <sheetName val=" ROAD &amp; WALL _2B"/>
      <sheetName val="RCC_Ret_ Wall"/>
      <sheetName val="Formwork - Planned"/>
      <sheetName val="Concrete - planned"/>
      <sheetName val="RA-markate"/>
      <sheetName val="Labour productivity"/>
      <sheetName val="VCH-SLC"/>
      <sheetName val="Supplier"/>
      <sheetName val="LABOUR"/>
      <sheetName val="Stress Calculation"/>
      <sheetName val="Estimate"/>
      <sheetName val="TBAL9697 -group wise  sdpl"/>
      <sheetName val="Lead"/>
      <sheetName val="Financials"/>
      <sheetName val="13. Steel - Ratio"/>
      <sheetName val="Project Budget Worksheet"/>
      <sheetName val="strand"/>
      <sheetName val="IO LIST"/>
      <sheetName val="Fill this out first..."/>
      <sheetName val="May"/>
      <sheetName val="Pay_Sep06"/>
      <sheetName val="9. Package split - Cost "/>
      <sheetName val="2B_August 2K2"/>
      <sheetName val="Footings"/>
      <sheetName val="Main-Material"/>
      <sheetName val="Extra Item"/>
      <sheetName val="Database"/>
      <sheetName val="SCHEDULE"/>
      <sheetName val="schedule nos"/>
      <sheetName val="Sheet2"/>
      <sheetName val="Package split - Cost"/>
      <sheetName val="10. &amp; 11. Rate Code &amp; BQ"/>
      <sheetName val="FORM7"/>
      <sheetName val="crews"/>
      <sheetName val="Boq"/>
      <sheetName val="Assmpns"/>
      <sheetName val="Linked Lead"/>
      <sheetName val="Currency Sheet"/>
      <sheetName val="Bill 3 - Site Works"/>
      <sheetName val="Current Bill MB ref"/>
      <sheetName val="Formulas"/>
      <sheetName val="Basement Budget"/>
      <sheetName val="labour coeff"/>
      <sheetName val="Sheet3"/>
      <sheetName val="Material"/>
      <sheetName val="Staff Acco."/>
      <sheetName val="p&amp;m"/>
      <sheetName val="NetBQ"/>
      <sheetName val="電気設備表"/>
      <sheetName val="XChange Rate"/>
      <sheetName val="E1"/>
      <sheetName val="PRECAST lightconc-II"/>
      <sheetName val="BASIS -DEC 08"/>
      <sheetName val="Builtup Area"/>
      <sheetName val="Approved MTD Proj #'s"/>
      <sheetName val="RA_markate"/>
      <sheetName val="Civil Boq"/>
      <sheetName val="BOQ -Block A"/>
      <sheetName val="월선수금"/>
      <sheetName val="Cleaning &amp; Grubbing"/>
      <sheetName val="Det_Des"/>
      <sheetName val="Rate Analysis"/>
      <sheetName val="BM"/>
      <sheetName val="Master Data Sheet"/>
      <sheetName val="Cost summary"/>
      <sheetName val="Costing"/>
      <sheetName val="HEAD"/>
      <sheetName val="Data"/>
      <sheetName val="analysis"/>
      <sheetName val="INDEX"/>
      <sheetName val="AREAS"/>
      <sheetName val="2gii"/>
      <sheetName val="RES-PLANNING"/>
      <sheetName val="INPUT SHEET"/>
      <sheetName val="Estimation"/>
      <sheetName val="8200AOC"/>
      <sheetName val="conc-foot-gradeslab"/>
      <sheetName val="Boq - Flats"/>
      <sheetName val="Inc.St.-Link"/>
      <sheetName val="PLAN_FEB97"/>
      <sheetName val="Input"/>
      <sheetName val="3cd Annexure"/>
      <sheetName val="Sheet1"/>
      <sheetName val="Manpower"/>
      <sheetName val="INTERIOR"/>
      <sheetName val="Variables_x"/>
      <sheetName val="Break up Sheet"/>
      <sheetName val="Headings"/>
      <sheetName val="Results"/>
      <sheetName val="PLGroupings"/>
      <sheetName val="Quotation"/>
      <sheetName val="LISTS"/>
      <sheetName val="Improvements"/>
      <sheetName val="ABB"/>
      <sheetName val="Cost_any"/>
      <sheetName val="Pay_Rec"/>
      <sheetName val="calcul"/>
      <sheetName val="Intro"/>
      <sheetName val="nVision"/>
      <sheetName val="Cashflow projection"/>
      <sheetName val="RA"/>
      <sheetName val="ord-lost_98&amp;99"/>
      <sheetName val="Consolidated"/>
      <sheetName val="Msht 5F"/>
      <sheetName val="Assumption"/>
      <sheetName val="Site Dev BOQ"/>
      <sheetName val="Sheet3 (2)"/>
      <sheetName val="segment_topsheet"/>
      <sheetName val="Design"/>
      <sheetName val="SALIENT"/>
      <sheetName val="LEVEL SHEET"/>
      <sheetName val="소상 &quot;1&quot;"/>
      <sheetName val="sumary"/>
      <sheetName val="Driveway Beams"/>
      <sheetName val="Factors"/>
      <sheetName val="Variables"/>
      <sheetName val="TASKRSRC (2)"/>
      <sheetName val="TARGET"/>
      <sheetName val="BASELINE"/>
      <sheetName val="재1"/>
      <sheetName val="beam-reinft"/>
      <sheetName val="Pile cap"/>
      <sheetName val="MATERIALS_masterlist"/>
      <sheetName val="Load Details-220kV"/>
      <sheetName val="Area Statement 15111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81.xml><?xml version="1.0" encoding="utf-8"?>
<externalLink xmlns="http://schemas.openxmlformats.org/spreadsheetml/2006/main">
  <externalBook xmlns:r="http://schemas.openxmlformats.org/officeDocument/2006/relationships" r:id="rId1">
    <sheetNames>
      <sheetName val="Sheet1"/>
      <sheetName val="p&amp;m"/>
      <sheetName val="Sheet4"/>
      <sheetName val="rate anal"/>
      <sheetName val="Top Sheet"/>
      <sheetName val="Batch"/>
      <sheetName val="Sheet2"/>
      <sheetName val="Sheet3"/>
      <sheetName val="FORM7"/>
      <sheetName val="labour coeff"/>
      <sheetName val="AOR"/>
      <sheetName val="Rate Analysis"/>
      <sheetName val="Lead"/>
      <sheetName val="RCC,Ret. Wall"/>
      <sheetName val="월선수금"/>
      <sheetName val="IO LIST"/>
      <sheetName val="Voucher"/>
      <sheetName val="Variables_x"/>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2.xml><?xml version="1.0" encoding="utf-8"?>
<externalLink xmlns="http://schemas.openxmlformats.org/spreadsheetml/2006/main">
  <externalBook xmlns:r="http://schemas.openxmlformats.org/officeDocument/2006/relationships" r:id="rId1">
    <sheetNames>
      <sheetName val="Pipe"/>
      <sheetName val="Manhole"/>
      <sheetName val="Det_Des"/>
      <sheetName val="Manholes"/>
      <sheetName val="Anticipated.May"/>
      <sheetName val="Val.07"/>
      <sheetName val="Sheet3"/>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3.xml><?xml version="1.0" encoding="utf-8"?>
<externalLink xmlns="http://schemas.openxmlformats.org/spreadsheetml/2006/main">
  <externalBook xmlns:r="http://schemas.openxmlformats.org/officeDocument/2006/relationships" r:id="rId1">
    <sheetNames>
      <sheetName val="conc-foot-gradeslab"/>
      <sheetName val="shuttering-footing"/>
      <sheetName val="conc-shear-lift-retaingwall"/>
      <sheetName val="shutt-shear-lift-retaingwall"/>
      <sheetName val="reinft-footing-gradeslab"/>
      <sheetName val="reinft-shear-lift"/>
      <sheetName val="Indices-old"/>
      <sheetName val="Indices-final"/>
      <sheetName val="Publicbuilding"/>
      <sheetName val="PS1"/>
      <sheetName val="Project Budget Worksheet"/>
      <sheetName val="Loads"/>
      <sheetName val="Legal Risk Analysis"/>
      <sheetName val="DetEst"/>
      <sheetName val="labour"/>
      <sheetName val="Data"/>
      <sheetName val="Break up Sheet"/>
      <sheetName val="budget"/>
      <sheetName val="Design"/>
      <sheetName val="Indices"/>
      <sheetName val="MECHANICAL"/>
      <sheetName val="Wordsdata"/>
      <sheetName val="item"/>
      <sheetName val="p&amp;m"/>
      <sheetName val="Fill this out first..."/>
    </sheetNames>
    <sheetDataSet>
      <sheetData sheetId="0" refreshError="1"/>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4.xml><?xml version="1.0" encoding="utf-8"?>
<externalLink xmlns="http://schemas.openxmlformats.org/spreadsheetml/2006/main">
  <externalBook xmlns:r="http://schemas.openxmlformats.org/officeDocument/2006/relationships" r:id="rId1">
    <sheetNames>
      <sheetName val="Escalation"/>
      <sheetName val="EMD"/>
      <sheetName val="Scrutiny"/>
      <sheetName val="RateList"/>
      <sheetName val="Overheads"/>
      <sheetName val="AOR"/>
      <sheetName val="formwork"/>
      <sheetName val="Submittals"/>
      <sheetName val="Sheet6"/>
      <sheetName val="Sheet7"/>
      <sheetName val="Sheet8"/>
      <sheetName val="Sheet9"/>
      <sheetName val="Sheet10"/>
      <sheetName val="Sheet11"/>
      <sheetName val="Sheet12"/>
      <sheetName val="Sheet13"/>
      <sheetName val="Sheet14"/>
      <sheetName val="Sheet15"/>
      <sheetName val="Sheet16"/>
      <sheetName val="formworks"/>
      <sheetName val="sheeet7"/>
      <sheetName val="p&amp;m"/>
      <sheetName val="PalmV"/>
      <sheetName val="BOQ"/>
      <sheetName val="FORM7"/>
      <sheetName val="IO LIST"/>
      <sheetName val="RCC,Ret. Wall"/>
      <sheetName val="월선수금"/>
      <sheetName val="F1a-Pile"/>
      <sheetName val="Measurment"/>
      <sheetName val="O H JUNE-08  "/>
      <sheetName val="Package-2"/>
      <sheetName val="Variables_x"/>
      <sheetName val="Project Budget Worksheet"/>
      <sheetName val="conc-foot-gradeslab"/>
      <sheetName val="PCC"/>
      <sheetName val="Fill this out fir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5.xml><?xml version="1.0" encoding="utf-8"?>
<externalLink xmlns="http://schemas.openxmlformats.org/spreadsheetml/2006/main">
  <externalBook xmlns:r="http://schemas.openxmlformats.org/officeDocument/2006/relationships" r:id="rId1">
    <sheetNames>
      <sheetName val="Encl."/>
      <sheetName val="Tender Gist"/>
      <sheetName val="EMD Req form"/>
      <sheetName val="Batching Plant"/>
      <sheetName val="P+M "/>
      <sheetName val="Concrete break up"/>
      <sheetName val="Summary"/>
      <sheetName val="Boq - Hostel"/>
      <sheetName val="Boq - Flats"/>
      <sheetName val="Split Up"/>
      <sheetName val="Boq - Sports"/>
      <sheetName val="Rate Analysis"/>
      <sheetName val="Annexure - 1"/>
      <sheetName val="Standard"/>
      <sheetName val="OH"/>
      <sheetName val="Top Sheet"/>
      <sheetName val="Cem. Consmption"/>
      <sheetName val="Scaffolding"/>
      <sheetName val="Split Up (17-07-06)"/>
      <sheetName val="Split Up (3-01-07)"/>
      <sheetName val="Boq - Sports (3-1-07)"/>
      <sheetName val="Rate Analysis (3-1-07)"/>
      <sheetName val="Standard (3-1-07)"/>
      <sheetName val="OH (3-1-07)"/>
      <sheetName val="Top Sheet (3-1-07)"/>
      <sheetName val="OH (ho format)"/>
      <sheetName val="Top Sheet (HO Format)"/>
      <sheetName val="Boq - Sports (3-1-06)"/>
      <sheetName val="Split Up (8-01-07)"/>
      <sheetName val="Boq - Sports (8-1-07)"/>
      <sheetName val="Rate Analysis (8-1-07)"/>
      <sheetName val="Standard (8-1-07)"/>
      <sheetName val="OH (8-1-07)"/>
      <sheetName val="Top Sheet (8-1-07)"/>
      <sheetName val="OH (ho format) (8-1-07)"/>
      <sheetName val="Top Sheet (HO Format) (8-1-07)"/>
      <sheetName val="Boq - Sports (8-1-06)"/>
      <sheetName val="Boq - Sports (CCCL final)"/>
      <sheetName val="AOR"/>
      <sheetName val="p&amp;m"/>
      <sheetName val="RCC,Ret. Wall"/>
      <sheetName val="Variables_x"/>
      <sheetName val="Lead"/>
      <sheetName val="FORM7"/>
      <sheetName val="PC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86.xml><?xml version="1.0" encoding="utf-8"?>
<externalLink xmlns="http://schemas.openxmlformats.org/spreadsheetml/2006/main">
  <externalBook xmlns:r="http://schemas.openxmlformats.org/officeDocument/2006/relationships" r:id="rId1">
    <sheetNames>
      <sheetName val="plumbing"/>
      <sheetName val="Gist"/>
      <sheetName val="Basic Cost"/>
      <sheetName val="P+M -EW"/>
      <sheetName val="P+M ( SMC )"/>
      <sheetName val="Concrete P+M ( RMC )"/>
      <sheetName val="General P+M"/>
      <sheetName val="Curing Analysis "/>
      <sheetName val="Stagging for PT Work-Don't use "/>
      <sheetName val="External Scaffolding "/>
      <sheetName val="Summary of P &amp; M"/>
      <sheetName val="P&amp;M Qty"/>
      <sheetName val="Con.Qty"/>
      <sheetName val="Towercrane "/>
      <sheetName val="Waterproofing Rate Analysis"/>
      <sheetName val="BOQ"/>
      <sheetName val="Rate Analysis"/>
      <sheetName val="PT Works Enabling"/>
      <sheetName val="Manmaster"/>
      <sheetName val="Standard"/>
      <sheetName val="Shuttering Analysis"/>
      <sheetName val="Over Heads- Zero"/>
      <sheetName val="OH- Zero "/>
      <sheetName val="Staff Mobilision- Zero"/>
      <sheetName val="Top Sheet"/>
      <sheetName val="Cem. Consmption"/>
      <sheetName val="Material Code in ERP"/>
      <sheetName val="AOR"/>
      <sheetName val="labour coeff"/>
      <sheetName val="Variables_x"/>
      <sheetName val="Boq - Flats"/>
      <sheetName val="Voucher"/>
      <sheetName val="FORM7"/>
      <sheetName val="PRECAST lightconc-II"/>
      <sheetName val="Variables"/>
      <sheetName val="Cal"/>
      <sheetName val="Data"/>
      <sheetName val="sheeet7"/>
      <sheetName val="Inc.St.-Lin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7.xml><?xml version="1.0" encoding="utf-8"?>
<externalLink xmlns="http://schemas.openxmlformats.org/spreadsheetml/2006/main">
  <externalBook xmlns:r="http://schemas.openxmlformats.org/officeDocument/2006/relationships" r:id="rId1">
    <sheetNames>
      <sheetName val="Balance work"/>
      <sheetName val="wip"/>
      <sheetName val="WIP (2)"/>
      <sheetName val="Sheet1"/>
      <sheetName val="Sheet2"/>
      <sheetName val="March Plan"/>
      <sheetName val="Rate Analysis"/>
    </sheetNames>
    <definedNames>
      <definedName name="Full_Print" refersTo="#REF!" sheetId="1"/>
      <definedName name="Last_Row" refersTo="#REF!"/>
    </defined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88.xml><?xml version="1.0" encoding="utf-8"?>
<externalLink xmlns="http://schemas.openxmlformats.org/spreadsheetml/2006/main">
  <externalBook xmlns:r="http://schemas.openxmlformats.org/officeDocument/2006/relationships" r:id="rId1">
    <sheetNames>
      <sheetName val="starter"/>
      <sheetName val="p1-costg"/>
      <sheetName val="p2-costg"/>
      <sheetName val="estimate"/>
      <sheetName val="wip"/>
      <sheetName val="Q2810-costing-r0"/>
    </sheetNames>
    <sheetDataSet>
      <sheetData sheetId="0"/>
      <sheetData sheetId="1" refreshError="1">
        <row r="30">
          <cell r="T30">
            <v>420133.49460000003</v>
          </cell>
        </row>
        <row r="113">
          <cell r="T113">
            <v>74157.363599999997</v>
          </cell>
        </row>
        <row r="125">
          <cell r="T125">
            <v>67022.163599999985</v>
          </cell>
        </row>
      </sheetData>
      <sheetData sheetId="2"/>
      <sheetData sheetId="3"/>
      <sheetData sheetId="4" refreshError="1"/>
      <sheetData sheetId="5" refreshError="1"/>
    </sheetDataSet>
  </externalBook>
</externalLink>
</file>

<file path=xl/externalLinks/externalLink89.xml><?xml version="1.0" encoding="utf-8"?>
<externalLink xmlns="http://schemas.openxmlformats.org/spreadsheetml/2006/main">
  <externalBook xmlns:r="http://schemas.openxmlformats.org/officeDocument/2006/relationships" r:id="rId1">
    <sheetNames>
      <sheetName val="HP-QTY"/>
      <sheetName val="Cul_detail"/>
      <sheetName val="HP"/>
      <sheetName val="HP Sts"/>
      <sheetName val="Slab"/>
      <sheetName val="Sl Sts"/>
      <sheetName val="M-F-03"/>
      <sheetName val="M-C"/>
      <sheetName val="M-J-03"/>
      <sheetName val="Rates Basic"/>
      <sheetName val="LOCAL RATES"/>
      <sheetName val="Fill this out first..."/>
    </sheetNames>
    <sheetDataSet>
      <sheetData sheetId="0"/>
      <sheetData sheetId="1">
        <row r="2">
          <cell r="B2" t="str">
            <v>Culvert Details</v>
          </cell>
        </row>
      </sheetData>
      <sheetData sheetId="2"/>
      <sheetData sheetId="3"/>
      <sheetData sheetId="4"/>
      <sheetData sheetId="5"/>
      <sheetData sheetId="6"/>
      <sheetData sheetId="7"/>
      <sheetData sheetId="8"/>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ncrete"/>
      <sheetName val="beam-slab shuttering"/>
      <sheetName val="col-shuttering"/>
      <sheetName val="beam-reinft"/>
      <sheetName val="slab-reinft1"/>
      <sheetName val="Slab-reinft2"/>
      <sheetName val="col-reinft"/>
      <sheetName val="col-reinft1"/>
      <sheetName val="summary"/>
      <sheetName val="Indices"/>
      <sheetName val="Sheet1"/>
      <sheetName val="beam id's"/>
      <sheetName val="slab barnos"/>
      <sheetName val="Rate Analysis"/>
      <sheetName val="col_reinft1"/>
      <sheetName val="#REF"/>
      <sheetName val="Lead"/>
      <sheetName val="Data"/>
      <sheetName val="Design"/>
      <sheetName val="Encl."/>
      <sheetName val="Tender Gist"/>
      <sheetName val="EMD Req form"/>
      <sheetName val="BP"/>
      <sheetName val="P+M "/>
      <sheetName val="Summary of reductions"/>
      <sheetName val="Split Up"/>
      <sheetName val="Boq"/>
      <sheetName val="RA"/>
      <sheetName val="Annexure - 1"/>
      <sheetName val="Std"/>
      <sheetName val="OH"/>
      <sheetName val="TS"/>
      <sheetName val="Cem. Consmption"/>
      <sheetName val="Scaffolding"/>
      <sheetName val="Civil Works"/>
      <sheetName val="3. Elemental Summary"/>
      <sheetName val="9. Package split - Cost "/>
      <sheetName val="10. &amp; 11. Rate Code &amp; BQ"/>
      <sheetName val="NetBQ"/>
      <sheetName val="TBAL9697 -group wise  sdpl"/>
      <sheetName val="PRECAST lightconc-II"/>
      <sheetName val="factors"/>
    </sheetNames>
    <sheetDataSet>
      <sheetData sheetId="0"/>
      <sheetData sheetId="1" refreshError="1"/>
      <sheetData sheetId="2" refreshError="1"/>
      <sheetData sheetId="3"/>
      <sheetData sheetId="4"/>
      <sheetData sheetId="5" refreshError="1"/>
      <sheetData sheetId="6" refreshError="1"/>
      <sheetData sheetId="7"/>
      <sheetData sheetId="8" refreshError="1"/>
      <sheetData sheetId="9"/>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90.xml><?xml version="1.0" encoding="utf-8"?>
<externalLink xmlns="http://schemas.openxmlformats.org/spreadsheetml/2006/main">
  <externalBook xmlns:r="http://schemas.openxmlformats.org/officeDocument/2006/relationships" r:id="rId1">
    <sheetNames>
      <sheetName val="costing"/>
      <sheetName val="Panel (part-II)"/>
      <sheetName val="bom"/>
      <sheetName val="moc"/>
      <sheetName val="Fill this out first..."/>
    </sheetNames>
    <sheetDataSet>
      <sheetData sheetId="0"/>
      <sheetData sheetId="1"/>
      <sheetData sheetId="2"/>
      <sheetData sheetId="3"/>
      <sheetData sheetId="4" refreshError="1"/>
    </sheetDataSet>
  </externalBook>
</externalLink>
</file>

<file path=xl/externalLinks/externalLink91.xml><?xml version="1.0" encoding="utf-8"?>
<externalLink xmlns="http://schemas.openxmlformats.org/spreadsheetml/2006/main">
  <externalBook xmlns:r="http://schemas.openxmlformats.org/officeDocument/2006/relationships" r:id="rId1">
    <sheetNames>
      <sheetName val="p2-costg-ht"/>
      <sheetName val="p1-costg-ht"/>
      <sheetName val="comps"/>
      <sheetName val="p1-costg"/>
      <sheetName val="p2-costg"/>
      <sheetName val="estimate"/>
      <sheetName val="costing"/>
    </sheetNames>
    <sheetDataSet>
      <sheetData sheetId="0" refreshError="1"/>
      <sheetData sheetId="1" refreshError="1"/>
      <sheetData sheetId="2" refreshError="1"/>
      <sheetData sheetId="3" refreshError="1"/>
      <sheetData sheetId="4" refreshError="1"/>
      <sheetData sheetId="5" refreshError="1">
        <row r="30">
          <cell r="K30">
            <v>3178349.231600001</v>
          </cell>
        </row>
      </sheetData>
      <sheetData sheetId="6" refreshError="1"/>
    </sheetDataSet>
  </externalBook>
</externalLink>
</file>

<file path=xl/externalLinks/externalLink92.xml><?xml version="1.0" encoding="utf-8"?>
<externalLink xmlns="http://schemas.openxmlformats.org/spreadsheetml/2006/main">
  <externalBook xmlns:r="http://schemas.openxmlformats.org/officeDocument/2006/relationships" r:id="rId1">
    <sheetNames>
      <sheetName val="Deckblatt"/>
      <sheetName val="E1"/>
      <sheetName val="E2"/>
      <sheetName val="E3"/>
      <sheetName val="E4"/>
      <sheetName val="E5"/>
      <sheetName val="E6"/>
      <sheetName val="E7"/>
      <sheetName val="E8"/>
      <sheetName val="E9"/>
      <sheetName val="F1"/>
      <sheetName val="F2"/>
      <sheetName val="F5"/>
      <sheetName val="F6"/>
      <sheetName val="F7"/>
      <sheetName val="F8"/>
      <sheetName val="Equ_List_Tisco_2003-03-28"/>
      <sheetName val="1-Pop Proj"/>
      <sheetName val="RCC,Ret. Wall"/>
      <sheetName val="Boq"/>
      <sheetName val="Inc.St.-Link"/>
      <sheetName val="Rate Analysis"/>
      <sheetName val="PC Master List"/>
      <sheetName val="Pile cap"/>
      <sheetName val="REVENUES &amp; BS"/>
      <sheetName val="bs BP 04 SA"/>
      <sheetName val="Results"/>
      <sheetName val="PLGroupings"/>
      <sheetName val="ord-lost_98&amp;99"/>
      <sheetName val="wip"/>
      <sheetName val="RecoveredExternalLink74"/>
      <sheetName val="Cul_detail"/>
      <sheetName val="Break up Sheet"/>
      <sheetName val="9. Package split - Cost "/>
      <sheetName val="estimate"/>
      <sheetName val="Sheet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3.xml><?xml version="1.0" encoding="utf-8"?>
<externalLink xmlns="http://schemas.openxmlformats.org/spreadsheetml/2006/main">
  <externalBook xmlns:r="http://schemas.openxmlformats.org/officeDocument/2006/relationships" r:id="rId1">
    <sheetNames>
      <sheetName val="GE"/>
      <sheetName val="Sheet1"/>
      <sheetName val="PRSH"/>
    </sheetNames>
    <sheetDataSet>
      <sheetData sheetId="0"/>
      <sheetData sheetId="1"/>
      <sheetData sheetId="2" refreshError="1"/>
    </sheetDataSet>
  </externalBook>
</externalLink>
</file>

<file path=xl/externalLinks/externalLink94.xml><?xml version="1.0" encoding="utf-8"?>
<externalLink xmlns="http://schemas.openxmlformats.org/spreadsheetml/2006/main">
  <externalBook xmlns:r="http://schemas.openxmlformats.org/officeDocument/2006/relationships" r:id="rId1">
    <sheetNames>
      <sheetName val="STEEL-SLAB1)"/>
      <sheetName val="column-part"/>
      <sheetName val="Indices"/>
      <sheetName val="COLUMN"/>
      <sheetName val="ETC Plant Cost"/>
      <sheetName val="E1"/>
      <sheetName val="Boq"/>
      <sheetName val="Rate Analysis"/>
      <sheetName val="Boq - Flats"/>
      <sheetName val="Variables_x"/>
      <sheetName val="RECAPITULATION"/>
      <sheetName val="PC Master List"/>
      <sheetName val="Aseet1998"/>
      <sheetName val="Sheet1 (2)"/>
      <sheetName val="conc-foot-gradeslab"/>
      <sheetName val="STAFFSCHED "/>
      <sheetName val="Loads"/>
      <sheetName val="SPT vs PHI"/>
      <sheetName val="PS1"/>
      <sheetName val="TBAL9697 -group wise  sdpl"/>
      <sheetName val="Project Budget Worksheet"/>
      <sheetName val="Cul_detail"/>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5.xml><?xml version="1.0" encoding="utf-8"?>
<externalLink xmlns="http://schemas.openxmlformats.org/spreadsheetml/2006/main">
  <externalBook xmlns:r="http://schemas.openxmlformats.org/officeDocument/2006/relationships" r:id="rId1">
    <sheetNames>
      <sheetName val="STEEL-SLAB1)"/>
      <sheetName val="column-part"/>
      <sheetName val="Indices"/>
      <sheetName val="COLUMN"/>
      <sheetName val="conc-foot-gradeslab"/>
      <sheetName val="Boq"/>
      <sheetName val="Wordsdata"/>
      <sheetName val="item"/>
      <sheetName val="dBase"/>
      <sheetName val="Civil Works"/>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6.xml><?xml version="1.0" encoding="utf-8"?>
<externalLink xmlns="http://schemas.openxmlformats.org/spreadsheetml/2006/main">
  <externalBook xmlns:r="http://schemas.openxmlformats.org/officeDocument/2006/relationships" r:id="rId1">
    <sheetNames>
      <sheetName val="Page de garde "/>
      <sheetName val="INTRO"/>
      <sheetName val="RECAPITULATION"/>
      <sheetName val="Suivi client"/>
      <sheetName val="Fiche N°1"/>
      <sheetName val="Fiche N°2"/>
      <sheetName val="Fiche N°3"/>
      <sheetName val="Fiche N°4"/>
      <sheetName val="Fiche N°5"/>
      <sheetName val="Fiche N°6"/>
      <sheetName val="Fiche N°7"/>
      <sheetName val="Fiche N°8"/>
      <sheetName val="Fiche N°9"/>
      <sheetName val="Fiche N°10"/>
      <sheetName val="Fiche N°11"/>
      <sheetName val="Fiche N°12"/>
      <sheetName val="Fiche N°13"/>
      <sheetName val="Fiche N°14"/>
      <sheetName val="Fiche N°15"/>
      <sheetName val="horizontal"/>
      <sheetName val="RCC,Ret. Wall"/>
      <sheetName val="IO LIST"/>
      <sheetName val="Main-Material"/>
      <sheetName val="Boq"/>
      <sheetName val="CABLE DATA"/>
      <sheetName val="Comparative"/>
      <sheetName val="COLUMN"/>
      <sheetName val="Cable-data"/>
      <sheetName val="RA-markate"/>
      <sheetName val="dlvoid"/>
      <sheetName val="PRSH"/>
      <sheetName val="Field Values"/>
      <sheetName val="Basement Budget"/>
      <sheetName val="Aseet1998"/>
      <sheetName val="PC Master List"/>
      <sheetName val="Labour"/>
      <sheetName val="521_Tableau_de_suivi_des_couts"/>
      <sheetName val="Pile cap"/>
      <sheetName val="BOQ_Direct_selling cost"/>
      <sheetName val="INTERIOR"/>
      <sheetName val="Inc.St.-Link"/>
      <sheetName val="E1"/>
      <sheetName val="p&amp;m"/>
      <sheetName val="doq"/>
      <sheetName val="WWR"/>
      <sheetName val="Rate analysis"/>
      <sheetName val="Assmpns"/>
      <sheetName val="final 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7.xml><?xml version="1.0" encoding="utf-8"?>
<externalLink xmlns="http://schemas.openxmlformats.org/spreadsheetml/2006/main">
  <externalBook xmlns:r="http://schemas.openxmlformats.org/officeDocument/2006/relationships" r:id="rId1">
    <sheetNames>
      <sheetName val="mgacb&amp;mccbEstimate (3)"/>
      <sheetName val="geacbabbmccbEstimate (2)"/>
      <sheetName val="components"/>
      <sheetName val="geacbabbmccbEstimate"/>
      <sheetName val="Estimate"/>
      <sheetName val="Price"/>
      <sheetName val="bom"/>
      <sheetName val="moc"/>
      <sheetName val="COLUMN"/>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98.xml><?xml version="1.0" encoding="utf-8"?>
<externalLink xmlns="http://schemas.openxmlformats.org/spreadsheetml/2006/main">
  <externalBook xmlns:r="http://schemas.openxmlformats.org/officeDocument/2006/relationships" r:id="rId1">
    <sheetNames>
      <sheetName val="Encl."/>
      <sheetName val="Tender Gist"/>
      <sheetName val="EMD Req form"/>
      <sheetName val="Boq"/>
      <sheetName val="Rate Analysis"/>
      <sheetName val="Standard"/>
      <sheetName val="Cem. Consmption"/>
      <sheetName val="P+M "/>
      <sheetName val="Scaffolding "/>
      <sheetName val="OH"/>
      <sheetName val="COLUMN"/>
      <sheetName val="7 Other Costs"/>
      <sheetName val="Material&amp;equipment"/>
      <sheetName val="office"/>
      <sheetName val="Lab"/>
      <sheetName val="Labour"/>
      <sheetName val="cubes_M20"/>
      <sheetName val="Inc.St.-Link"/>
      <sheetName val="Boq - Flats"/>
      <sheetName val="E1"/>
      <sheetName val="RECAPITULATION"/>
      <sheetName val="AOR"/>
      <sheetName val="Variables_x"/>
      <sheetName val="Main-Material"/>
      <sheetName val="final abstract"/>
      <sheetName val="How to Input"/>
      <sheetName val="Input "/>
      <sheetName val="Design"/>
      <sheetName val="Sheet1"/>
      <sheetName val="Table"/>
      <sheetName val="LinkFlow"/>
      <sheetName val="DesignOutput"/>
      <sheetName val="PlanData"/>
      <sheetName val="Plans"/>
      <sheetName val="MH"/>
      <sheetName val="Pipes"/>
      <sheetName val="Sheet2"/>
      <sheetName val="wordsdata"/>
      <sheetName val="Loads"/>
      <sheetName val="Digestion"/>
      <sheetName val="PS1"/>
      <sheetName val="Civil Boq"/>
      <sheetName val="Estimate"/>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99.xml><?xml version="1.0" encoding="utf-8"?>
<externalLink xmlns="http://schemas.openxmlformats.org/spreadsheetml/2006/main">
  <externalBook xmlns:r="http://schemas.openxmlformats.org/officeDocument/2006/relationships" r:id="rId1">
    <sheetNames>
      <sheetName val="tITLE"/>
      <sheetName val="Index"/>
      <sheetName val="-19.252"/>
      <sheetName val="sum-19.252"/>
      <sheetName val="pc-loads"/>
      <sheetName val="Pile cap"/>
      <sheetName val="General&amp;Local"/>
      <sheetName val="Appendix"/>
      <sheetName val="Design"/>
      <sheetName val="summary"/>
      <sheetName val="estimate"/>
      <sheetName val="RA-markate"/>
      <sheetName val="Break up Sheet"/>
      <sheetName val="std.wt."/>
      <sheetName val="Fill this out first..."/>
      <sheetName val="Loads"/>
      <sheetName val="Well"/>
      <sheetName val="ANALYSIS"/>
      <sheetName val="BOQ fire proofing"/>
      <sheetName val="horizontal"/>
      <sheetName val="precast RC element"/>
      <sheetName val="List"/>
      <sheetName val="Boq"/>
      <sheetName val="COLUMN"/>
      <sheetName val="PC Master List"/>
      <sheetName val="Rate Analysis"/>
      <sheetName val="E1"/>
      <sheetName val="Boq - Flats"/>
      <sheetName val="TBAL9697 -group wise  sdpl"/>
      <sheetName val="Labour"/>
      <sheetName val="Inc.St.-Link"/>
      <sheetName val="RECAPITULATION"/>
      <sheetName val="Results"/>
      <sheetName val="PLGroupings"/>
      <sheetName val="RCC,Ret. Wall"/>
      <sheetName val="dummy"/>
      <sheetName val="cubes_M20"/>
      <sheetName val="Publicbuilding"/>
      <sheetName val="Wordsdata"/>
      <sheetName val="item"/>
      <sheetName val="sept-plan"/>
      <sheetName val="Abstract Sheet"/>
      <sheetName val="Legal Risk Analysis"/>
      <sheetName val="Boq-C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52"/>
  <sheetViews>
    <sheetView view="pageBreakPreview" zoomScale="80" zoomScaleNormal="85" zoomScaleSheetLayoutView="80" workbookViewId="0">
      <pane ySplit="3" topLeftCell="A43" activePane="bottomLeft" state="frozen"/>
      <selection activeCell="C22" sqref="C22"/>
      <selection pane="bottomLeft" activeCell="C48" sqref="C48"/>
    </sheetView>
  </sheetViews>
  <sheetFormatPr defaultColWidth="9.140625" defaultRowHeight="12.75"/>
  <cols>
    <col min="1" max="1" width="9.140625" style="485"/>
    <col min="2" max="2" width="85.7109375" style="485" customWidth="1"/>
    <col min="3" max="3" width="27.140625" style="485" customWidth="1"/>
    <col min="4" max="4" width="9.140625" style="485"/>
    <col min="5" max="5" width="26.85546875" style="485" bestFit="1" customWidth="1"/>
    <col min="6" max="6" width="11.42578125" style="485" bestFit="1" customWidth="1"/>
    <col min="7" max="7" width="17.7109375" style="486" bestFit="1" customWidth="1"/>
    <col min="8" max="8" width="26.42578125" style="485" bestFit="1" customWidth="1"/>
    <col min="9" max="9" width="17.42578125" style="485" bestFit="1" customWidth="1"/>
    <col min="10" max="10" width="15.28515625" style="485" bestFit="1" customWidth="1"/>
    <col min="11" max="16384" width="9.140625" style="485"/>
  </cols>
  <sheetData>
    <row r="1" spans="1:9" ht="50.1" customHeight="1">
      <c r="A1" s="709" t="s">
        <v>1859</v>
      </c>
      <c r="B1" s="709"/>
      <c r="C1" s="709"/>
    </row>
    <row r="2" spans="1:9" ht="39.950000000000003" customHeight="1">
      <c r="A2" s="710" t="s">
        <v>778</v>
      </c>
      <c r="B2" s="710"/>
      <c r="C2" s="710"/>
    </row>
    <row r="3" spans="1:9" s="487" customFormat="1" ht="24" customHeight="1">
      <c r="A3" s="419" t="s">
        <v>64</v>
      </c>
      <c r="B3" s="419" t="s">
        <v>65</v>
      </c>
      <c r="C3" s="419" t="s">
        <v>539</v>
      </c>
      <c r="G3" s="488"/>
    </row>
    <row r="4" spans="1:9" s="487" customFormat="1" ht="21.95" customHeight="1">
      <c r="A4" s="419" t="s">
        <v>63</v>
      </c>
      <c r="B4" s="420" t="s">
        <v>524</v>
      </c>
      <c r="C4" s="420"/>
      <c r="G4" s="488"/>
    </row>
    <row r="5" spans="1:9" s="487" customFormat="1" ht="21.95" customHeight="1">
      <c r="A5" s="489"/>
      <c r="B5" s="39" t="s">
        <v>34</v>
      </c>
      <c r="C5" s="40">
        <f>'BOQ-C&amp;I'!F22</f>
        <v>712669.61999999988</v>
      </c>
      <c r="E5" s="488"/>
      <c r="G5" s="488"/>
      <c r="H5" s="490"/>
      <c r="I5" s="490"/>
    </row>
    <row r="6" spans="1:9" s="487" customFormat="1" ht="21.95" customHeight="1">
      <c r="A6" s="489"/>
      <c r="B6" s="39" t="s">
        <v>35</v>
      </c>
      <c r="C6" s="40">
        <f>'BOQ-C&amp;I'!F27</f>
        <v>53550</v>
      </c>
      <c r="E6" s="488"/>
      <c r="G6" s="488"/>
      <c r="H6" s="490"/>
      <c r="I6" s="490"/>
    </row>
    <row r="7" spans="1:9" s="487" customFormat="1" ht="21.95" customHeight="1">
      <c r="A7" s="489"/>
      <c r="B7" s="39" t="s">
        <v>36</v>
      </c>
      <c r="C7" s="40">
        <f>'BOQ-C&amp;I'!F50</f>
        <v>24890026.200000003</v>
      </c>
      <c r="E7" s="488"/>
      <c r="G7" s="488"/>
      <c r="H7" s="490"/>
      <c r="I7" s="490"/>
    </row>
    <row r="8" spans="1:9" s="487" customFormat="1" ht="21.95" customHeight="1">
      <c r="A8" s="489"/>
      <c r="B8" s="39" t="s">
        <v>37</v>
      </c>
      <c r="C8" s="40">
        <f>'BOQ-C&amp;I'!F59</f>
        <v>8515187.2464999985</v>
      </c>
      <c r="E8" s="488"/>
      <c r="G8" s="488"/>
      <c r="H8" s="490"/>
      <c r="I8" s="490"/>
    </row>
    <row r="9" spans="1:9" s="487" customFormat="1" ht="21.95" customHeight="1">
      <c r="A9" s="489"/>
      <c r="B9" s="39" t="s">
        <v>10</v>
      </c>
      <c r="C9" s="40">
        <f>'BOQ-C&amp;I'!F102</f>
        <v>6705514.7996117715</v>
      </c>
      <c r="E9" s="488"/>
      <c r="G9" s="488"/>
      <c r="H9" s="488"/>
      <c r="I9" s="490"/>
    </row>
    <row r="10" spans="1:9" s="487" customFormat="1" ht="21.95" customHeight="1">
      <c r="A10" s="489"/>
      <c r="B10" s="39" t="s">
        <v>38</v>
      </c>
      <c r="C10" s="40">
        <f>'BOQ-C&amp;I'!F128</f>
        <v>2115332.5090541439</v>
      </c>
      <c r="E10" s="488"/>
      <c r="G10" s="488"/>
      <c r="H10" s="490"/>
      <c r="I10" s="490"/>
    </row>
    <row r="11" spans="1:9" s="487" customFormat="1" ht="21.95" customHeight="1">
      <c r="A11" s="489"/>
      <c r="B11" s="39" t="s">
        <v>39</v>
      </c>
      <c r="C11" s="40">
        <f>'BOQ-C&amp;I'!F134</f>
        <v>1416986</v>
      </c>
      <c r="E11" s="488"/>
      <c r="G11" s="488"/>
      <c r="H11" s="490"/>
      <c r="I11" s="490"/>
    </row>
    <row r="12" spans="1:9" s="487" customFormat="1" ht="21.95" customHeight="1">
      <c r="A12" s="489"/>
      <c r="B12" s="39" t="s">
        <v>40</v>
      </c>
      <c r="C12" s="40">
        <f>'BOQ-C&amp;I'!F163</f>
        <v>4775776.1244416237</v>
      </c>
      <c r="E12" s="488"/>
      <c r="G12" s="488"/>
      <c r="H12" s="490"/>
      <c r="I12" s="490"/>
    </row>
    <row r="13" spans="1:9" s="487" customFormat="1" ht="21.95" customHeight="1">
      <c r="A13" s="489"/>
      <c r="B13" s="39" t="s">
        <v>41</v>
      </c>
      <c r="C13" s="40">
        <f>'BOQ-C&amp;I'!F169</f>
        <v>569399.5</v>
      </c>
      <c r="E13" s="488"/>
      <c r="G13" s="488"/>
      <c r="H13" s="490"/>
      <c r="I13" s="490"/>
    </row>
    <row r="14" spans="1:9" s="487" customFormat="1" ht="21.95" customHeight="1">
      <c r="A14" s="489"/>
      <c r="B14" s="39" t="s">
        <v>42</v>
      </c>
      <c r="C14" s="40">
        <f>'BOQ-C&amp;I'!F176</f>
        <v>1448963</v>
      </c>
      <c r="E14" s="488"/>
      <c r="G14" s="488"/>
      <c r="H14" s="490"/>
      <c r="I14" s="490"/>
    </row>
    <row r="15" spans="1:9" s="487" customFormat="1" ht="21.95" customHeight="1">
      <c r="A15" s="489"/>
      <c r="B15" s="39" t="s">
        <v>43</v>
      </c>
      <c r="C15" s="40">
        <f>'BOQ-C&amp;I'!F182</f>
        <v>3034265</v>
      </c>
      <c r="E15" s="488"/>
      <c r="G15" s="488"/>
      <c r="H15" s="490"/>
      <c r="I15" s="490"/>
    </row>
    <row r="16" spans="1:9" s="487" customFormat="1" ht="21.95" customHeight="1">
      <c r="A16" s="489"/>
      <c r="B16" s="39" t="s">
        <v>44</v>
      </c>
      <c r="C16" s="40">
        <f>'BOQ-C&amp;I'!F189</f>
        <v>1968504</v>
      </c>
      <c r="E16" s="488"/>
      <c r="G16" s="488"/>
      <c r="H16" s="490"/>
      <c r="I16" s="490"/>
    </row>
    <row r="17" spans="1:11" s="487" customFormat="1" ht="21.95" customHeight="1">
      <c r="A17" s="489"/>
      <c r="B17" s="39" t="s">
        <v>45</v>
      </c>
      <c r="C17" s="40">
        <f>'BOQ-C&amp;I'!F232</f>
        <v>3588799</v>
      </c>
      <c r="E17" s="488"/>
      <c r="G17" s="488"/>
      <c r="H17" s="490"/>
      <c r="I17" s="490"/>
    </row>
    <row r="18" spans="1:11" s="487" customFormat="1" ht="21.95" customHeight="1">
      <c r="A18" s="489"/>
      <c r="B18" s="39" t="s">
        <v>46</v>
      </c>
      <c r="C18" s="40">
        <f>'BOQ-C&amp;I'!F246</f>
        <v>317994.25710659527</v>
      </c>
      <c r="E18" s="488"/>
      <c r="G18" s="488"/>
      <c r="H18" s="490"/>
      <c r="I18" s="490"/>
    </row>
    <row r="19" spans="1:11" s="487" customFormat="1" ht="21.95" customHeight="1">
      <c r="A19" s="489"/>
      <c r="B19" s="39" t="s">
        <v>514</v>
      </c>
      <c r="C19" s="40">
        <f>'BOQ-C&amp;I'!F252</f>
        <v>212000</v>
      </c>
      <c r="E19" s="488"/>
      <c r="G19" s="488"/>
      <c r="H19" s="490"/>
      <c r="I19" s="490"/>
    </row>
    <row r="21" spans="1:11" s="487" customFormat="1" ht="21.95" customHeight="1">
      <c r="A21" s="419" t="s">
        <v>691</v>
      </c>
      <c r="B21" s="420" t="s">
        <v>899</v>
      </c>
      <c r="C21" s="40"/>
      <c r="G21" s="491"/>
      <c r="H21" s="490"/>
      <c r="J21" s="491"/>
      <c r="K21" s="490"/>
    </row>
    <row r="22" spans="1:11" s="487" customFormat="1" ht="21.95" customHeight="1">
      <c r="A22" s="489"/>
      <c r="B22" s="39" t="s">
        <v>1749</v>
      </c>
      <c r="C22" s="40">
        <v>294203</v>
      </c>
      <c r="G22" s="491"/>
      <c r="H22" s="490"/>
      <c r="J22" s="491"/>
      <c r="K22" s="490"/>
    </row>
    <row r="23" spans="1:11" s="487" customFormat="1" ht="21.95" customHeight="1">
      <c r="A23" s="489"/>
      <c r="B23" s="39" t="s">
        <v>993</v>
      </c>
      <c r="C23" s="40">
        <v>5434528</v>
      </c>
      <c r="E23" s="488"/>
      <c r="G23" s="488"/>
      <c r="H23" s="490"/>
      <c r="J23" s="236"/>
      <c r="K23" s="490"/>
    </row>
    <row r="24" spans="1:11" s="487" customFormat="1" ht="21.95" customHeight="1">
      <c r="A24" s="489"/>
      <c r="B24" s="39" t="s">
        <v>1908</v>
      </c>
      <c r="C24" s="40">
        <v>9496388.9800000004</v>
      </c>
      <c r="E24" s="488"/>
      <c r="G24" s="488"/>
      <c r="H24" s="490"/>
      <c r="J24" s="491"/>
      <c r="K24" s="490"/>
    </row>
    <row r="25" spans="1:11" s="487" customFormat="1" ht="21.95" customHeight="1">
      <c r="A25" s="489"/>
      <c r="B25" s="39" t="s">
        <v>1844</v>
      </c>
      <c r="C25" s="40">
        <v>1054540</v>
      </c>
      <c r="G25" s="491"/>
      <c r="H25" s="490"/>
      <c r="J25" s="491"/>
      <c r="K25" s="490"/>
    </row>
    <row r="26" spans="1:11" ht="21.95" customHeight="1">
      <c r="A26" s="489"/>
      <c r="B26" s="39" t="s">
        <v>1747</v>
      </c>
      <c r="C26" s="40">
        <v>1269600</v>
      </c>
    </row>
    <row r="27" spans="1:11" s="487" customFormat="1" ht="21.95" customHeight="1">
      <c r="A27" s="489"/>
      <c r="B27" s="420" t="s">
        <v>990</v>
      </c>
      <c r="C27" s="493">
        <f>SUM(C5:C26)</f>
        <v>77874227.23671414</v>
      </c>
      <c r="G27" s="494"/>
      <c r="H27" s="490"/>
      <c r="I27" s="495"/>
      <c r="J27" s="491"/>
    </row>
    <row r="28" spans="1:11" s="497" customFormat="1" ht="21.95" customHeight="1">
      <c r="A28" s="496"/>
      <c r="B28" s="39" t="s">
        <v>670</v>
      </c>
      <c r="C28" s="40">
        <f>C27*0.18</f>
        <v>14017360.902608545</v>
      </c>
      <c r="G28" s="491"/>
      <c r="H28" s="490"/>
      <c r="J28" s="491"/>
    </row>
    <row r="29" spans="1:11" s="497" customFormat="1" ht="21.95" customHeight="1">
      <c r="A29" s="496"/>
      <c r="B29" s="420" t="s">
        <v>773</v>
      </c>
      <c r="C29" s="493">
        <f>SUM(C27:C28)</f>
        <v>91891588.139322683</v>
      </c>
      <c r="G29" s="491"/>
      <c r="J29" s="491"/>
    </row>
    <row r="30" spans="1:11" s="497" customFormat="1" ht="21.95" customHeight="1">
      <c r="A30" s="496"/>
      <c r="B30" s="498" t="s">
        <v>981</v>
      </c>
      <c r="C30" s="40">
        <f>C27*1%</f>
        <v>778742.27236714144</v>
      </c>
      <c r="G30" s="491"/>
    </row>
    <row r="31" spans="1:11" s="497" customFormat="1" ht="21.95" customHeight="1">
      <c r="A31" s="496"/>
      <c r="B31" s="39" t="s">
        <v>1884</v>
      </c>
      <c r="C31" s="40">
        <f>C27*1%</f>
        <v>778742.27236714144</v>
      </c>
      <c r="G31" s="499"/>
    </row>
    <row r="32" spans="1:11" s="497" customFormat="1" ht="21.95" customHeight="1">
      <c r="A32" s="496"/>
      <c r="B32" s="39" t="s">
        <v>1909</v>
      </c>
      <c r="C32" s="40">
        <f>(C29*5%)</f>
        <v>4594579.406966134</v>
      </c>
      <c r="E32" s="497" t="s">
        <v>1893</v>
      </c>
      <c r="F32" s="506"/>
      <c r="G32" s="499"/>
    </row>
    <row r="33" spans="1:11" s="497" customFormat="1" ht="21.95" customHeight="1">
      <c r="A33" s="496"/>
      <c r="B33" s="39" t="s">
        <v>1888</v>
      </c>
      <c r="C33" s="40">
        <v>400000</v>
      </c>
      <c r="G33" s="499"/>
    </row>
    <row r="34" spans="1:11" s="497" customFormat="1" ht="21.95" customHeight="1">
      <c r="A34" s="496"/>
      <c r="B34" s="39" t="s">
        <v>1889</v>
      </c>
      <c r="C34" s="40">
        <v>869000</v>
      </c>
      <c r="G34" s="499"/>
    </row>
    <row r="35" spans="1:11" s="497" customFormat="1" ht="21.95" customHeight="1">
      <c r="A35" s="496"/>
      <c r="B35" s="39" t="s">
        <v>1890</v>
      </c>
      <c r="C35" s="40"/>
      <c r="E35" s="497" t="s">
        <v>1892</v>
      </c>
      <c r="G35" s="499"/>
    </row>
    <row r="36" spans="1:11" s="497" customFormat="1" ht="21.95" customHeight="1">
      <c r="A36" s="496"/>
      <c r="B36" s="39" t="s">
        <v>1931</v>
      </c>
      <c r="C36" s="40">
        <v>600000</v>
      </c>
      <c r="G36" s="499"/>
    </row>
    <row r="37" spans="1:11" s="497" customFormat="1" ht="21.95" customHeight="1">
      <c r="A37" s="496"/>
      <c r="B37" s="39" t="s">
        <v>1933</v>
      </c>
      <c r="C37" s="40">
        <v>587348</v>
      </c>
      <c r="G37" s="499"/>
    </row>
    <row r="38" spans="1:11" s="497" customFormat="1" ht="21.95" customHeight="1">
      <c r="A38" s="496"/>
      <c r="B38" s="498" t="s">
        <v>1930</v>
      </c>
      <c r="C38" s="40">
        <v>1000000</v>
      </c>
      <c r="E38" s="491"/>
      <c r="F38" s="491"/>
      <c r="G38" s="491"/>
      <c r="H38" s="491"/>
    </row>
    <row r="39" spans="1:11" ht="21.95" customHeight="1">
      <c r="A39" s="500"/>
      <c r="B39" s="420" t="s">
        <v>991</v>
      </c>
      <c r="C39" s="501">
        <f>SUM(C29:C38)</f>
        <v>101500000.09102309</v>
      </c>
      <c r="E39" s="491">
        <v>101500000</v>
      </c>
      <c r="F39" s="491"/>
      <c r="G39" s="491"/>
      <c r="H39" s="491"/>
    </row>
    <row r="40" spans="1:11" ht="24" customHeight="1">
      <c r="B40" s="502"/>
      <c r="C40" s="503"/>
      <c r="E40" s="705">
        <f>E39-C39</f>
        <v>-9.1023087501525879E-2</v>
      </c>
    </row>
    <row r="41" spans="1:11" ht="21.95" customHeight="1">
      <c r="A41" s="500"/>
      <c r="B41" s="505" t="s">
        <v>1891</v>
      </c>
      <c r="C41" s="500"/>
    </row>
    <row r="42" spans="1:11" ht="21.95" customHeight="1">
      <c r="A42" s="500"/>
      <c r="B42" s="39" t="s">
        <v>912</v>
      </c>
      <c r="C42" s="40">
        <f>'Loose Furniture and Chairs'!F14</f>
        <v>2579580</v>
      </c>
    </row>
    <row r="43" spans="1:11" ht="21.95" customHeight="1">
      <c r="A43" s="500"/>
      <c r="B43" s="39" t="s">
        <v>780</v>
      </c>
      <c r="C43" s="40">
        <f>'Modular Furniture'!F15</f>
        <v>1429020</v>
      </c>
    </row>
    <row r="44" spans="1:11" s="487" customFormat="1" ht="21.95" customHeight="1">
      <c r="A44" s="489"/>
      <c r="B44" s="39" t="s">
        <v>741</v>
      </c>
      <c r="C44" s="40">
        <f>'BOQ-C&amp;I'!F256</f>
        <v>1957100</v>
      </c>
      <c r="E44" s="488"/>
      <c r="G44" s="488"/>
      <c r="H44" s="490"/>
      <c r="I44" s="490"/>
      <c r="J44" s="491"/>
      <c r="K44" s="490"/>
    </row>
    <row r="45" spans="1:11" s="487" customFormat="1" ht="21.95" customHeight="1">
      <c r="A45" s="489"/>
      <c r="B45" s="39" t="s">
        <v>1415</v>
      </c>
      <c r="C45" s="40">
        <f>'BOQ-C&amp;I'!F268</f>
        <v>1603721.0644</v>
      </c>
      <c r="E45" s="488"/>
      <c r="G45" s="488"/>
      <c r="H45" s="490"/>
      <c r="I45" s="490"/>
      <c r="J45" s="491"/>
      <c r="K45" s="490"/>
    </row>
    <row r="46" spans="1:11" ht="21.95" customHeight="1">
      <c r="A46" s="489"/>
      <c r="B46" s="39" t="s">
        <v>1746</v>
      </c>
      <c r="C46" s="40">
        <f>'BOQ-C&amp;I'!F298</f>
        <v>2311318.8934666663</v>
      </c>
      <c r="E46" s="486"/>
      <c r="F46" s="492"/>
      <c r="G46" s="488"/>
      <c r="H46" s="486"/>
    </row>
    <row r="47" spans="1:11" ht="21.95" customHeight="1">
      <c r="A47" s="489"/>
      <c r="B47" s="39" t="s">
        <v>1748</v>
      </c>
      <c r="C47" s="40">
        <v>1635218</v>
      </c>
    </row>
    <row r="48" spans="1:11" ht="21.95" customHeight="1">
      <c r="A48" s="500"/>
      <c r="B48" s="420" t="s">
        <v>990</v>
      </c>
      <c r="C48" s="493">
        <f>SUM(C42:C47)</f>
        <v>11515957.957866667</v>
      </c>
    </row>
    <row r="49" spans="1:8" ht="21.95" customHeight="1">
      <c r="A49" s="500"/>
      <c r="B49" s="39" t="s">
        <v>670</v>
      </c>
      <c r="C49" s="40">
        <f>C48*0.18</f>
        <v>2072872.4324159999</v>
      </c>
      <c r="D49" s="236"/>
    </row>
    <row r="50" spans="1:8" ht="21.95" customHeight="1">
      <c r="A50" s="500"/>
      <c r="B50" s="420" t="s">
        <v>773</v>
      </c>
      <c r="C50" s="493">
        <f>SUM(C48:C49)</f>
        <v>13588830.390282666</v>
      </c>
    </row>
    <row r="51" spans="1:8" ht="21.95" customHeight="1">
      <c r="A51" s="500"/>
      <c r="B51" s="39" t="s">
        <v>1910</v>
      </c>
      <c r="C51" s="40">
        <f>(C50*5%)</f>
        <v>679441.51951413334</v>
      </c>
    </row>
    <row r="52" spans="1:8" ht="21.95" customHeight="1">
      <c r="A52" s="500"/>
      <c r="B52" s="420" t="s">
        <v>1932</v>
      </c>
      <c r="C52" s="501">
        <f>SUM(C50:C51)</f>
        <v>14268271.9097968</v>
      </c>
      <c r="E52" s="491"/>
      <c r="F52" s="491"/>
      <c r="G52" s="491"/>
      <c r="H52" s="491"/>
    </row>
  </sheetData>
  <mergeCells count="2">
    <mergeCell ref="A1:C1"/>
    <mergeCell ref="A2:C2"/>
  </mergeCells>
  <printOptions horizontalCentered="1"/>
  <pageMargins left="0.59" right="0.39500000000000002" top="0.748" bottom="0.748" header="0.315" footer="0.315"/>
  <pageSetup paperSize="9" scale="58" fitToWidth="0" fitToHeight="0" orientation="portrait" r:id="rId1"/>
  <headerFooter scaleWithDoc="0">
    <oddHeader>&amp;LProposed Working Women's Hostels for TNWWHSB at Tiruvannamalai.&amp;R&amp;A</oddHeader>
    <oddFooter>&amp;LDIUS Design Consultants Pvt Ltd&amp;C&amp;P of &amp;N&amp;R&amp;"Verdana,Regular"Knight Frank (India) Pvt Ltd</oddFooter>
  </headerFooter>
  <ignoredErrors>
    <ignoredError sqref="C49" formula="1"/>
  </ignoredErrors>
</worksheet>
</file>

<file path=xl/worksheets/sheet10.xml><?xml version="1.0" encoding="utf-8"?>
<worksheet xmlns="http://schemas.openxmlformats.org/spreadsheetml/2006/main" xmlns:r="http://schemas.openxmlformats.org/officeDocument/2006/relationships">
  <dimension ref="A1:Q316"/>
  <sheetViews>
    <sheetView view="pageBreakPreview" zoomScale="85" zoomScaleSheetLayoutView="85" workbookViewId="0">
      <pane ySplit="3" topLeftCell="A118" activePane="bottomLeft" state="frozen"/>
      <selection activeCell="E40" sqref="E40"/>
      <selection pane="bottomLeft" activeCell="B40" sqref="B40:K40"/>
    </sheetView>
  </sheetViews>
  <sheetFormatPr defaultColWidth="8.85546875" defaultRowHeight="18"/>
  <cols>
    <col min="1" max="1" width="9.7109375" style="105" bestFit="1" customWidth="1"/>
    <col min="2" max="2" width="39.42578125" style="106" customWidth="1"/>
    <col min="3" max="3" width="13.7109375" style="53" bestFit="1" customWidth="1"/>
    <col min="4" max="4" width="5.7109375" style="10" bestFit="1" customWidth="1"/>
    <col min="5" max="5" width="2.85546875" style="11" bestFit="1" customWidth="1"/>
    <col min="6" max="6" width="6.42578125" style="12" bestFit="1" customWidth="1"/>
    <col min="7" max="7" width="12.85546875" style="53" bestFit="1" customWidth="1"/>
    <col min="8" max="8" width="13.85546875" style="53" bestFit="1" customWidth="1"/>
    <col min="9" max="9" width="11.140625" style="53" customWidth="1"/>
    <col min="10" max="10" width="16.7109375" style="53" bestFit="1" customWidth="1"/>
    <col min="11" max="11" width="14.85546875" style="53" bestFit="1" customWidth="1"/>
    <col min="12" max="12" width="8.85546875" style="53"/>
    <col min="13" max="13" width="17.5703125" style="102" bestFit="1" customWidth="1"/>
    <col min="14" max="14" width="23.85546875" style="103" bestFit="1" customWidth="1"/>
    <col min="15" max="15" width="15.7109375" style="103" bestFit="1" customWidth="1"/>
    <col min="16" max="16" width="14.5703125" style="53" bestFit="1" customWidth="1"/>
    <col min="17" max="17" width="13.5703125" style="53" customWidth="1"/>
    <col min="18" max="19" width="11.140625" style="53" bestFit="1" customWidth="1"/>
    <col min="20" max="16384" width="8.85546875" style="53"/>
  </cols>
  <sheetData>
    <row r="1" spans="1:17" s="108" customFormat="1" ht="64.150000000000006" customHeight="1">
      <c r="A1" s="787" t="str">
        <f>+Summary!A1</f>
        <v>Estimate for construction of Proposed Working Women's Hostels at Tiruvannamalai.</v>
      </c>
      <c r="B1" s="787"/>
      <c r="C1" s="787"/>
      <c r="D1" s="787"/>
      <c r="E1" s="787"/>
      <c r="F1" s="787"/>
      <c r="G1" s="787"/>
      <c r="H1" s="787"/>
      <c r="I1" s="787"/>
      <c r="J1" s="787"/>
      <c r="K1" s="787"/>
      <c r="M1" s="109"/>
      <c r="N1" s="110"/>
      <c r="O1" s="110"/>
    </row>
    <row r="2" spans="1:17" s="108" customFormat="1" ht="30.6" customHeight="1">
      <c r="A2" s="788" t="s">
        <v>576</v>
      </c>
      <c r="B2" s="788"/>
      <c r="C2" s="788"/>
      <c r="D2" s="788"/>
      <c r="E2" s="788"/>
      <c r="F2" s="788"/>
      <c r="G2" s="788"/>
      <c r="H2" s="788"/>
      <c r="I2" s="788"/>
      <c r="J2" s="788"/>
      <c r="K2" s="788"/>
      <c r="M2" s="109"/>
      <c r="N2" s="110"/>
      <c r="O2" s="110"/>
    </row>
    <row r="3" spans="1:17" s="111" customFormat="1" ht="25.15" customHeight="1">
      <c r="A3" s="97" t="s">
        <v>0</v>
      </c>
      <c r="B3" s="101" t="s">
        <v>1</v>
      </c>
      <c r="C3" s="166" t="s">
        <v>11</v>
      </c>
      <c r="D3" s="789" t="s">
        <v>2</v>
      </c>
      <c r="E3" s="790"/>
      <c r="F3" s="791"/>
      <c r="G3" s="167" t="s">
        <v>3</v>
      </c>
      <c r="H3" s="97" t="s">
        <v>4</v>
      </c>
      <c r="I3" s="97" t="s">
        <v>5</v>
      </c>
      <c r="J3" s="97" t="s">
        <v>6</v>
      </c>
      <c r="K3" s="97" t="s">
        <v>7</v>
      </c>
      <c r="M3" s="112"/>
      <c r="N3" s="113"/>
      <c r="O3" s="113"/>
    </row>
    <row r="4" spans="1:17">
      <c r="A4" s="97" t="str">
        <f>'Modular Furniture'!A4</f>
        <v>A</v>
      </c>
      <c r="B4" s="781" t="str">
        <f>'Modular Furniture'!B4</f>
        <v>Modular Furniture</v>
      </c>
      <c r="C4" s="782"/>
      <c r="D4" s="782"/>
      <c r="E4" s="782"/>
      <c r="F4" s="782"/>
      <c r="G4" s="782"/>
      <c r="H4" s="782"/>
      <c r="I4" s="782"/>
      <c r="J4" s="782"/>
      <c r="K4" s="783"/>
    </row>
    <row r="5" spans="1:17">
      <c r="A5" s="41"/>
      <c r="B5" s="781" t="str">
        <f>'Modular Furniture'!B5</f>
        <v>ADMIN OFFICE TABLE  1200X600X750 MM</v>
      </c>
      <c r="C5" s="782"/>
      <c r="D5" s="782"/>
      <c r="E5" s="782"/>
      <c r="F5" s="782"/>
      <c r="G5" s="782"/>
      <c r="H5" s="782"/>
      <c r="I5" s="782"/>
      <c r="J5" s="782"/>
      <c r="K5" s="783"/>
    </row>
    <row r="6" spans="1:17" ht="32.25" customHeight="1">
      <c r="A6" s="41" t="s">
        <v>71</v>
      </c>
      <c r="B6" s="775" t="str">
        <f>'Modular Furniture'!B6</f>
        <v xml:space="preserve">Admin Office tables &amp; chair. Including cost of all material , labour charges as directed by he departmental officers </v>
      </c>
      <c r="C6" s="776"/>
      <c r="D6" s="776"/>
      <c r="E6" s="776"/>
      <c r="F6" s="776"/>
      <c r="G6" s="776"/>
      <c r="H6" s="776"/>
      <c r="I6" s="776"/>
      <c r="J6" s="776"/>
      <c r="K6" s="777"/>
    </row>
    <row r="7" spans="1:17">
      <c r="A7" s="41"/>
      <c r="B7" s="16" t="s">
        <v>12</v>
      </c>
      <c r="C7" s="9"/>
      <c r="D7" s="10">
        <v>1</v>
      </c>
      <c r="E7" s="11" t="s">
        <v>8</v>
      </c>
      <c r="F7" s="12">
        <v>1</v>
      </c>
      <c r="G7" s="13"/>
      <c r="H7" s="14"/>
      <c r="I7" s="14"/>
      <c r="J7" s="14">
        <f t="shared" ref="J7" si="0">ROUNDUP(PRODUCT(D7:I7),2)</f>
        <v>1</v>
      </c>
      <c r="K7" s="43"/>
    </row>
    <row r="8" spans="1:17">
      <c r="A8" s="41"/>
      <c r="B8" s="55" t="s">
        <v>28</v>
      </c>
      <c r="C8" s="9"/>
      <c r="G8" s="13"/>
      <c r="H8" s="14"/>
      <c r="I8" s="14"/>
      <c r="J8" s="51">
        <f>SUM(J7)</f>
        <v>1</v>
      </c>
      <c r="K8" s="42" t="s">
        <v>51</v>
      </c>
    </row>
    <row r="9" spans="1:17" ht="68.25" customHeight="1">
      <c r="A9" s="41" t="s">
        <v>70</v>
      </c>
      <c r="B9" s="775" t="str">
        <f>'Modular Furniture'!B7</f>
        <v xml:space="preserve">Office storage cabinetAll panel 18mm thick prelam partical board finish, 2mm edge banding finish. Swing type shutter. Including cost of all material , labour charges as directed by he departmental officers </v>
      </c>
      <c r="C9" s="776"/>
      <c r="D9" s="776"/>
      <c r="E9" s="776"/>
      <c r="F9" s="776"/>
      <c r="G9" s="776"/>
      <c r="H9" s="776"/>
      <c r="I9" s="776"/>
      <c r="J9" s="776"/>
      <c r="K9" s="777"/>
    </row>
    <row r="10" spans="1:17">
      <c r="A10" s="41"/>
      <c r="B10" s="16" t="s">
        <v>12</v>
      </c>
      <c r="C10" s="9"/>
      <c r="D10" s="10">
        <v>1</v>
      </c>
      <c r="E10" s="11" t="s">
        <v>8</v>
      </c>
      <c r="F10" s="12">
        <v>1</v>
      </c>
      <c r="G10" s="13"/>
      <c r="H10" s="14"/>
      <c r="I10" s="14"/>
      <c r="J10" s="14">
        <f t="shared" ref="J10" si="1">ROUNDUP(PRODUCT(D10:I10),2)</f>
        <v>1</v>
      </c>
      <c r="K10" s="43"/>
    </row>
    <row r="11" spans="1:17">
      <c r="A11" s="41"/>
      <c r="B11" s="55" t="s">
        <v>28</v>
      </c>
      <c r="C11" s="9"/>
      <c r="G11" s="13"/>
      <c r="H11" s="14"/>
      <c r="I11" s="14"/>
      <c r="J11" s="51">
        <f>SUM(J10)</f>
        <v>1</v>
      </c>
      <c r="K11" s="42" t="s">
        <v>51</v>
      </c>
    </row>
    <row r="12" spans="1:17">
      <c r="A12" s="41">
        <v>2</v>
      </c>
      <c r="B12" s="784" t="str">
        <f>'Modular Furniture'!B8</f>
        <v xml:space="preserve">WARDROBE 900X500X1950MM </v>
      </c>
      <c r="C12" s="785"/>
      <c r="D12" s="785"/>
      <c r="E12" s="785"/>
      <c r="F12" s="785"/>
      <c r="G12" s="785"/>
      <c r="H12" s="785"/>
      <c r="I12" s="785"/>
      <c r="J12" s="785"/>
      <c r="K12" s="786"/>
    </row>
    <row r="13" spans="1:17" ht="62.25" customHeight="1">
      <c r="A13" s="41"/>
      <c r="B13" s="775" t="str">
        <f>'Modular Furniture'!B9</f>
        <v xml:space="preserve">Supply and installation of Wooden / MDF wardrope  all panel 18mm thk  MDF board with 2mm edge banding finish. Including cost of all material , labour charges as directed by he departmental officers </v>
      </c>
      <c r="C13" s="776"/>
      <c r="D13" s="776"/>
      <c r="E13" s="776"/>
      <c r="F13" s="776"/>
      <c r="G13" s="776"/>
      <c r="H13" s="776"/>
      <c r="I13" s="776"/>
      <c r="J13" s="776"/>
      <c r="K13" s="777"/>
      <c r="M13" s="114"/>
      <c r="N13" s="115"/>
      <c r="P13" s="116"/>
      <c r="Q13" s="116"/>
    </row>
    <row r="14" spans="1:17">
      <c r="A14" s="41"/>
      <c r="B14" s="173" t="s">
        <v>12</v>
      </c>
      <c r="C14" s="9"/>
      <c r="G14" s="13"/>
      <c r="H14" s="14"/>
      <c r="I14" s="14"/>
      <c r="J14" s="14"/>
      <c r="K14" s="43"/>
    </row>
    <row r="15" spans="1:17">
      <c r="A15" s="41"/>
      <c r="B15" s="8" t="s">
        <v>593</v>
      </c>
      <c r="C15" s="9"/>
      <c r="D15" s="10">
        <v>1</v>
      </c>
      <c r="E15" s="11" t="s">
        <v>8</v>
      </c>
      <c r="F15" s="12">
        <v>4</v>
      </c>
      <c r="G15" s="13"/>
      <c r="H15" s="14"/>
      <c r="I15" s="14"/>
      <c r="J15" s="14">
        <f t="shared" ref="J15:J17" si="2">ROUNDUP(PRODUCT(D15:I15),2)</f>
        <v>4</v>
      </c>
      <c r="K15" s="43"/>
    </row>
    <row r="16" spans="1:17" ht="36">
      <c r="A16" s="41"/>
      <c r="B16" s="268" t="s">
        <v>1310</v>
      </c>
      <c r="C16" s="9"/>
      <c r="D16" s="10">
        <v>1</v>
      </c>
      <c r="E16" s="11" t="s">
        <v>8</v>
      </c>
      <c r="F16" s="12">
        <v>2</v>
      </c>
      <c r="G16" s="13"/>
      <c r="H16" s="14"/>
      <c r="I16" s="14"/>
      <c r="J16" s="14">
        <f t="shared" si="2"/>
        <v>2</v>
      </c>
      <c r="K16" s="43"/>
    </row>
    <row r="17" spans="1:11">
      <c r="A17" s="41"/>
      <c r="B17" s="268" t="s">
        <v>1311</v>
      </c>
      <c r="C17" s="9"/>
      <c r="D17" s="10">
        <v>1</v>
      </c>
      <c r="E17" s="11" t="s">
        <v>8</v>
      </c>
      <c r="F17" s="12">
        <v>2</v>
      </c>
      <c r="G17" s="13"/>
      <c r="H17" s="14"/>
      <c r="I17" s="14"/>
      <c r="J17" s="14">
        <f t="shared" si="2"/>
        <v>2</v>
      </c>
      <c r="K17" s="43"/>
    </row>
    <row r="18" spans="1:11">
      <c r="A18" s="41"/>
      <c r="B18" s="268"/>
      <c r="C18" s="9"/>
      <c r="G18" s="13"/>
      <c r="H18" s="14"/>
      <c r="I18" s="14"/>
      <c r="J18" s="14"/>
      <c r="K18" s="43"/>
    </row>
    <row r="19" spans="1:11">
      <c r="A19" s="41"/>
      <c r="B19" s="173" t="s">
        <v>1312</v>
      </c>
      <c r="C19" s="9"/>
      <c r="G19" s="13"/>
      <c r="H19" s="14"/>
      <c r="I19" s="14"/>
      <c r="J19" s="14"/>
      <c r="K19" s="43"/>
    </row>
    <row r="20" spans="1:11">
      <c r="A20" s="41"/>
      <c r="B20" s="8" t="s">
        <v>1313</v>
      </c>
      <c r="C20" s="9"/>
      <c r="D20" s="10">
        <v>3</v>
      </c>
      <c r="E20" s="11" t="s">
        <v>8</v>
      </c>
      <c r="F20" s="12">
        <v>2</v>
      </c>
      <c r="G20" s="13"/>
      <c r="H20" s="14"/>
      <c r="I20" s="14"/>
      <c r="J20" s="14">
        <f t="shared" ref="J20:J32" si="3">ROUNDUP(PRODUCT(D20:I20),2)</f>
        <v>6</v>
      </c>
      <c r="K20" s="43"/>
    </row>
    <row r="21" spans="1:11">
      <c r="A21" s="41"/>
      <c r="B21" s="8" t="s">
        <v>1314</v>
      </c>
      <c r="C21" s="9"/>
      <c r="D21" s="10">
        <v>3</v>
      </c>
      <c r="E21" s="11" t="s">
        <v>8</v>
      </c>
      <c r="F21" s="12">
        <v>2</v>
      </c>
      <c r="G21" s="13"/>
      <c r="H21" s="14"/>
      <c r="I21" s="14"/>
      <c r="J21" s="14">
        <f t="shared" si="3"/>
        <v>6</v>
      </c>
      <c r="K21" s="43"/>
    </row>
    <row r="22" spans="1:11">
      <c r="A22" s="41"/>
      <c r="B22" s="8" t="s">
        <v>1315</v>
      </c>
      <c r="C22" s="9"/>
      <c r="D22" s="10">
        <v>3</v>
      </c>
      <c r="E22" s="11" t="s">
        <v>8</v>
      </c>
      <c r="F22" s="12">
        <v>2</v>
      </c>
      <c r="G22" s="13"/>
      <c r="H22" s="14"/>
      <c r="I22" s="14"/>
      <c r="J22" s="14">
        <f t="shared" si="3"/>
        <v>6</v>
      </c>
      <c r="K22" s="43"/>
    </row>
    <row r="23" spans="1:11">
      <c r="A23" s="41"/>
      <c r="B23" s="8" t="s">
        <v>1316</v>
      </c>
      <c r="C23" s="9"/>
      <c r="D23" s="10">
        <v>3</v>
      </c>
      <c r="E23" s="11" t="s">
        <v>8</v>
      </c>
      <c r="F23" s="12">
        <v>2</v>
      </c>
      <c r="G23" s="13"/>
      <c r="H23" s="14"/>
      <c r="I23" s="14"/>
      <c r="J23" s="14">
        <f t="shared" si="3"/>
        <v>6</v>
      </c>
      <c r="K23" s="43"/>
    </row>
    <row r="24" spans="1:11">
      <c r="A24" s="41"/>
      <c r="B24" s="8" t="s">
        <v>1317</v>
      </c>
      <c r="C24" s="9"/>
      <c r="D24" s="10">
        <v>3</v>
      </c>
      <c r="E24" s="11" t="s">
        <v>8</v>
      </c>
      <c r="F24" s="12">
        <v>2</v>
      </c>
      <c r="G24" s="13"/>
      <c r="H24" s="14"/>
      <c r="I24" s="14"/>
      <c r="J24" s="14">
        <f t="shared" si="3"/>
        <v>6</v>
      </c>
      <c r="K24" s="43"/>
    </row>
    <row r="25" spans="1:11">
      <c r="A25" s="41"/>
      <c r="B25" s="8" t="s">
        <v>1318</v>
      </c>
      <c r="C25" s="9"/>
      <c r="D25" s="10">
        <v>3</v>
      </c>
      <c r="E25" s="11" t="s">
        <v>8</v>
      </c>
      <c r="F25" s="12">
        <v>4</v>
      </c>
      <c r="G25" s="13"/>
      <c r="H25" s="14"/>
      <c r="I25" s="14"/>
      <c r="J25" s="14">
        <f t="shared" si="3"/>
        <v>12</v>
      </c>
      <c r="K25" s="43"/>
    </row>
    <row r="26" spans="1:11">
      <c r="A26" s="41"/>
      <c r="B26" s="8" t="s">
        <v>1319</v>
      </c>
      <c r="C26" s="9"/>
      <c r="D26" s="10">
        <v>3</v>
      </c>
      <c r="E26" s="11" t="s">
        <v>8</v>
      </c>
      <c r="F26" s="12">
        <v>4</v>
      </c>
      <c r="G26" s="13"/>
      <c r="H26" s="14"/>
      <c r="I26" s="14"/>
      <c r="J26" s="14">
        <f t="shared" si="3"/>
        <v>12</v>
      </c>
      <c r="K26" s="43"/>
    </row>
    <row r="27" spans="1:11">
      <c r="A27" s="41"/>
      <c r="B27" s="8" t="s">
        <v>1320</v>
      </c>
      <c r="C27" s="9"/>
      <c r="D27" s="10">
        <v>3</v>
      </c>
      <c r="E27" s="11" t="s">
        <v>8</v>
      </c>
      <c r="F27" s="12">
        <v>4</v>
      </c>
      <c r="G27" s="13"/>
      <c r="H27" s="14"/>
      <c r="I27" s="14"/>
      <c r="J27" s="14">
        <f t="shared" si="3"/>
        <v>12</v>
      </c>
      <c r="K27" s="43"/>
    </row>
    <row r="28" spans="1:11">
      <c r="A28" s="41"/>
      <c r="B28" s="8" t="s">
        <v>1321</v>
      </c>
      <c r="C28" s="9"/>
      <c r="D28" s="10">
        <v>3</v>
      </c>
      <c r="E28" s="11" t="s">
        <v>8</v>
      </c>
      <c r="F28" s="12">
        <v>4</v>
      </c>
      <c r="G28" s="13"/>
      <c r="H28" s="14"/>
      <c r="I28" s="14"/>
      <c r="J28" s="14">
        <f t="shared" si="3"/>
        <v>12</v>
      </c>
      <c r="K28" s="43"/>
    </row>
    <row r="29" spans="1:11">
      <c r="A29" s="41"/>
      <c r="B29" s="8" t="s">
        <v>1322</v>
      </c>
      <c r="C29" s="9"/>
      <c r="D29" s="10">
        <v>3</v>
      </c>
      <c r="E29" s="11" t="s">
        <v>8</v>
      </c>
      <c r="F29" s="12">
        <v>4</v>
      </c>
      <c r="G29" s="13"/>
      <c r="H29" s="14"/>
      <c r="I29" s="14"/>
      <c r="J29" s="14">
        <f t="shared" si="3"/>
        <v>12</v>
      </c>
      <c r="K29" s="43"/>
    </row>
    <row r="30" spans="1:11">
      <c r="A30" s="41"/>
      <c r="B30" s="8" t="s">
        <v>1323</v>
      </c>
      <c r="C30" s="9"/>
      <c r="D30" s="10">
        <v>3</v>
      </c>
      <c r="E30" s="11" t="s">
        <v>8</v>
      </c>
      <c r="F30" s="12">
        <v>4</v>
      </c>
      <c r="G30" s="13"/>
      <c r="H30" s="14"/>
      <c r="I30" s="14"/>
      <c r="J30" s="14">
        <f t="shared" si="3"/>
        <v>12</v>
      </c>
      <c r="K30" s="43"/>
    </row>
    <row r="31" spans="1:11">
      <c r="A31" s="41"/>
      <c r="B31" s="8" t="s">
        <v>1324</v>
      </c>
      <c r="C31" s="9"/>
      <c r="D31" s="10">
        <v>3</v>
      </c>
      <c r="E31" s="11" t="s">
        <v>8</v>
      </c>
      <c r="F31" s="12">
        <v>4</v>
      </c>
      <c r="G31" s="13"/>
      <c r="H31" s="14"/>
      <c r="I31" s="14"/>
      <c r="J31" s="14">
        <f t="shared" si="3"/>
        <v>12</v>
      </c>
      <c r="K31" s="43"/>
    </row>
    <row r="32" spans="1:11">
      <c r="A32" s="41"/>
      <c r="B32" s="268" t="s">
        <v>1325</v>
      </c>
      <c r="C32" s="9"/>
      <c r="D32" s="10">
        <v>3</v>
      </c>
      <c r="E32" s="11" t="s">
        <v>8</v>
      </c>
      <c r="F32" s="12">
        <v>4</v>
      </c>
      <c r="G32" s="13"/>
      <c r="H32" s="14"/>
      <c r="I32" s="14"/>
      <c r="J32" s="14">
        <f t="shared" si="3"/>
        <v>12</v>
      </c>
      <c r="K32" s="43"/>
    </row>
    <row r="33" spans="1:17">
      <c r="A33" s="41"/>
      <c r="B33" s="55" t="s">
        <v>28</v>
      </c>
      <c r="C33" s="9"/>
      <c r="G33" s="13"/>
      <c r="H33" s="14"/>
      <c r="I33" s="14"/>
      <c r="J33" s="51">
        <f>SUM(J14:J32)</f>
        <v>134</v>
      </c>
      <c r="K33" s="42" t="s">
        <v>51</v>
      </c>
    </row>
    <row r="34" spans="1:17">
      <c r="A34" s="41"/>
      <c r="B34" s="8"/>
      <c r="C34" s="15"/>
      <c r="G34" s="54"/>
      <c r="H34" s="54"/>
      <c r="I34" s="98"/>
      <c r="J34" s="99"/>
      <c r="K34" s="52"/>
      <c r="M34" s="114"/>
      <c r="N34" s="114"/>
      <c r="P34" s="116"/>
      <c r="Q34" s="116"/>
    </row>
    <row r="35" spans="1:17" ht="75.75" customHeight="1">
      <c r="A35" s="41">
        <f>'Modular Furniture'!A10</f>
        <v>3</v>
      </c>
      <c r="B35" s="775" t="str">
        <f>'Modular Furniture'!B10</f>
        <v xml:space="preserve">Kitchen Furniture and Storage                          Size: 2400 W X 1800 D X 800 HKitchen unit full set BWR ply wood finish. Including cost of all material , labour charges as directed by he departmental officers </v>
      </c>
      <c r="C35" s="776"/>
      <c r="D35" s="776"/>
      <c r="E35" s="776"/>
      <c r="F35" s="776"/>
      <c r="G35" s="776"/>
      <c r="H35" s="776"/>
      <c r="I35" s="776"/>
      <c r="J35" s="776"/>
      <c r="K35" s="777"/>
      <c r="M35" s="114"/>
      <c r="N35" s="114"/>
      <c r="P35" s="116"/>
      <c r="Q35" s="116"/>
    </row>
    <row r="36" spans="1:17">
      <c r="A36" s="41"/>
      <c r="B36" s="173" t="s">
        <v>12</v>
      </c>
      <c r="C36" s="9"/>
      <c r="G36" s="13"/>
      <c r="H36" s="14"/>
      <c r="I36" s="14"/>
      <c r="J36" s="14"/>
      <c r="K36" s="43"/>
      <c r="M36" s="114"/>
      <c r="N36" s="114"/>
      <c r="P36" s="116"/>
      <c r="Q36" s="116"/>
    </row>
    <row r="37" spans="1:17">
      <c r="A37" s="41"/>
      <c r="B37" s="8" t="s">
        <v>584</v>
      </c>
      <c r="C37" s="9"/>
      <c r="D37" s="10">
        <v>1</v>
      </c>
      <c r="E37" s="11" t="s">
        <v>8</v>
      </c>
      <c r="F37" s="12">
        <v>1</v>
      </c>
      <c r="G37" s="13"/>
      <c r="H37" s="14"/>
      <c r="I37" s="14"/>
      <c r="J37" s="44">
        <f t="shared" ref="J37" si="4">ROUNDUP(PRODUCT(D37:I37),2)</f>
        <v>1</v>
      </c>
      <c r="K37" s="42" t="s">
        <v>51</v>
      </c>
      <c r="M37" s="114"/>
      <c r="N37" s="114"/>
      <c r="P37" s="116"/>
      <c r="Q37" s="116"/>
    </row>
    <row r="38" spans="1:17" ht="78" customHeight="1">
      <c r="A38" s="41">
        <f>'Modular Furniture'!A11</f>
        <v>4</v>
      </c>
      <c r="B38" s="775" t="str">
        <f>'Modular Furniture'!B11</f>
        <v xml:space="preserve">Janitor storage                                                     Size: 900 W X 450 D X 1800 H18mm thick prelam partical board finish with 2mm edge banding and swing type shutters. Including cost of all material , labour charges as directed by he departmental officers </v>
      </c>
      <c r="C38" s="776"/>
      <c r="D38" s="776"/>
      <c r="E38" s="776"/>
      <c r="F38" s="776"/>
      <c r="G38" s="776"/>
      <c r="H38" s="776"/>
      <c r="I38" s="776"/>
      <c r="J38" s="776"/>
      <c r="K38" s="777"/>
      <c r="M38" s="114"/>
      <c r="N38" s="114"/>
      <c r="P38" s="116"/>
      <c r="Q38" s="116"/>
    </row>
    <row r="39" spans="1:17">
      <c r="A39" s="41"/>
      <c r="B39" s="173" t="s">
        <v>1873</v>
      </c>
      <c r="C39" s="9"/>
      <c r="D39" s="10">
        <v>3</v>
      </c>
      <c r="E39" s="11" t="s">
        <v>8</v>
      </c>
      <c r="F39" s="12">
        <v>1</v>
      </c>
      <c r="G39" s="13"/>
      <c r="H39" s="14"/>
      <c r="I39" s="14"/>
      <c r="J39" s="44">
        <f t="shared" ref="J39" si="5">ROUNDUP(PRODUCT(D39:I39),2)</f>
        <v>3</v>
      </c>
      <c r="K39" s="42" t="s">
        <v>51</v>
      </c>
      <c r="M39" s="114"/>
      <c r="N39" s="114"/>
      <c r="P39" s="116"/>
      <c r="Q39" s="116"/>
    </row>
    <row r="40" spans="1:17" ht="39.75" customHeight="1">
      <c r="A40" s="41">
        <f>'Modular Furniture'!A12</f>
        <v>5</v>
      </c>
      <c r="B40" s="775" t="str">
        <f>'Modular Furniture'!B12</f>
        <v>Pantry Furniture - BWR Ply                                     Size: 2400 W X 600 D X 800 H</v>
      </c>
      <c r="C40" s="776"/>
      <c r="D40" s="776"/>
      <c r="E40" s="776"/>
      <c r="F40" s="776"/>
      <c r="G40" s="776"/>
      <c r="H40" s="776"/>
      <c r="I40" s="776"/>
      <c r="J40" s="776"/>
      <c r="K40" s="777"/>
      <c r="M40" s="114"/>
      <c r="N40" s="114"/>
      <c r="P40" s="116"/>
      <c r="Q40" s="116"/>
    </row>
    <row r="41" spans="1:17">
      <c r="A41" s="41"/>
      <c r="B41" s="173" t="s">
        <v>1873</v>
      </c>
      <c r="C41" s="9"/>
      <c r="G41" s="13"/>
      <c r="H41" s="14"/>
      <c r="I41" s="14"/>
      <c r="J41" s="14"/>
      <c r="K41" s="43"/>
      <c r="M41" s="114"/>
      <c r="N41" s="114"/>
      <c r="P41" s="116"/>
      <c r="Q41" s="116"/>
    </row>
    <row r="42" spans="1:17">
      <c r="A42" s="41"/>
      <c r="B42" s="8" t="s">
        <v>1881</v>
      </c>
      <c r="C42" s="9"/>
      <c r="D42" s="10">
        <v>3</v>
      </c>
      <c r="E42" s="11" t="s">
        <v>8</v>
      </c>
      <c r="F42" s="12">
        <v>1</v>
      </c>
      <c r="G42" s="13"/>
      <c r="H42" s="14"/>
      <c r="I42" s="14"/>
      <c r="J42" s="44">
        <f t="shared" ref="J42" si="6">ROUNDUP(PRODUCT(D42:I42),2)</f>
        <v>3</v>
      </c>
      <c r="K42" s="42" t="s">
        <v>51</v>
      </c>
      <c r="M42" s="114"/>
      <c r="N42" s="114"/>
      <c r="P42" s="116"/>
      <c r="Q42" s="116"/>
    </row>
    <row r="43" spans="1:17" ht="62.25" customHeight="1">
      <c r="A43" s="41" t="str">
        <f>'Loose Furniture and Chairs'!A4</f>
        <v>B</v>
      </c>
      <c r="B43" s="781" t="str">
        <f>'Loose Furniture and Chairs'!B4</f>
        <v>Supply and Delivery of Loose Furniture and Chairs including cost of transportation charges and ect.</v>
      </c>
      <c r="C43" s="782"/>
      <c r="D43" s="782"/>
      <c r="E43" s="782"/>
      <c r="F43" s="782"/>
      <c r="G43" s="782"/>
      <c r="H43" s="782"/>
      <c r="I43" s="782"/>
      <c r="J43" s="782"/>
      <c r="K43" s="783"/>
      <c r="M43" s="114"/>
      <c r="N43" s="114"/>
      <c r="P43" s="116"/>
      <c r="Q43" s="116"/>
    </row>
    <row r="44" spans="1:17">
      <c r="A44" s="41">
        <f>'Loose Furniture and Chairs'!A5</f>
        <v>1</v>
      </c>
      <c r="B44" s="781" t="str">
        <f>'Loose Furniture and Chairs'!B5</f>
        <v>CANTEEN</v>
      </c>
      <c r="C44" s="782"/>
      <c r="D44" s="782"/>
      <c r="E44" s="782"/>
      <c r="F44" s="782"/>
      <c r="G44" s="782"/>
      <c r="H44" s="782"/>
      <c r="I44" s="782"/>
      <c r="J44" s="782"/>
      <c r="K44" s="783"/>
      <c r="M44" s="114"/>
      <c r="N44" s="114"/>
      <c r="P44" s="116"/>
      <c r="Q44" s="116"/>
    </row>
    <row r="45" spans="1:17" ht="104.25" customHeight="1">
      <c r="A45" s="41" t="str">
        <f>'Loose Furniture and Chairs'!A6</f>
        <v>a</v>
      </c>
      <c r="B45" s="775" t="str">
        <f>'Loose Furniture and Chairs'!B6</f>
        <v>Dining tables with 4 chairsSize : 1200 W x 800 D x 750 Ht Dining table top 18mm thicl PLPB finish with 2mm edge banding. Support leg ms powder coating finish.</v>
      </c>
      <c r="C45" s="776"/>
      <c r="D45" s="776"/>
      <c r="E45" s="776"/>
      <c r="F45" s="776"/>
      <c r="G45" s="776"/>
      <c r="H45" s="776"/>
      <c r="I45" s="776"/>
      <c r="J45" s="776"/>
      <c r="K45" s="777"/>
      <c r="M45" s="114"/>
      <c r="N45" s="114"/>
      <c r="P45" s="116"/>
      <c r="Q45" s="116"/>
    </row>
    <row r="46" spans="1:17">
      <c r="A46" s="41"/>
      <c r="B46" s="16" t="s">
        <v>12</v>
      </c>
      <c r="C46" s="9"/>
      <c r="G46" s="13"/>
      <c r="H46" s="14"/>
      <c r="I46" s="14"/>
      <c r="J46" s="14"/>
      <c r="K46" s="43"/>
    </row>
    <row r="47" spans="1:17">
      <c r="A47" s="41"/>
      <c r="B47" s="8" t="s">
        <v>1327</v>
      </c>
      <c r="C47" s="9"/>
      <c r="D47" s="10">
        <v>1</v>
      </c>
      <c r="E47" s="11" t="s">
        <v>8</v>
      </c>
      <c r="F47" s="12">
        <v>10</v>
      </c>
      <c r="G47" s="13"/>
      <c r="H47" s="14"/>
      <c r="I47" s="14"/>
      <c r="J47" s="14">
        <f t="shared" ref="J47" si="7">ROUNDUP(PRODUCT(D47:I47),2)</f>
        <v>10</v>
      </c>
      <c r="K47" s="43"/>
    </row>
    <row r="48" spans="1:17">
      <c r="A48" s="41"/>
      <c r="B48" s="55" t="s">
        <v>28</v>
      </c>
      <c r="C48" s="9"/>
      <c r="G48" s="13"/>
      <c r="H48" s="14"/>
      <c r="I48" s="14"/>
      <c r="J48" s="51">
        <f>SUM(J47)</f>
        <v>10</v>
      </c>
      <c r="K48" s="42" t="s">
        <v>51</v>
      </c>
    </row>
    <row r="49" spans="1:11">
      <c r="A49" s="41">
        <f>'Loose Furniture and Chairs'!A7</f>
        <v>2</v>
      </c>
      <c r="B49" s="100" t="str">
        <f>'Loose Furniture and Chairs'!B7</f>
        <v>ROOMS</v>
      </c>
      <c r="C49" s="507"/>
      <c r="D49" s="507"/>
      <c r="E49" s="507"/>
      <c r="F49" s="507"/>
      <c r="G49" s="507"/>
      <c r="H49" s="507"/>
      <c r="I49" s="507"/>
      <c r="J49" s="507"/>
      <c r="K49" s="136"/>
    </row>
    <row r="50" spans="1:11" ht="130.5" customHeight="1">
      <c r="A50" s="41" t="str">
        <f>'Loose Furniture and Chairs'!A8</f>
        <v>a</v>
      </c>
      <c r="B50" s="775" t="str">
        <f>'Loose Furniture and Chairs'!B8</f>
        <v>WOODE / MDF BED (Without Mattress)25mm thick head board and foot board MDF board with 2mm edge banding finish. Support section ms powder coating finish.</v>
      </c>
      <c r="C50" s="776"/>
      <c r="D50" s="776"/>
      <c r="E50" s="776"/>
      <c r="F50" s="776"/>
      <c r="G50" s="776"/>
      <c r="H50" s="776"/>
      <c r="I50" s="776"/>
      <c r="J50" s="776"/>
      <c r="K50" s="777"/>
    </row>
    <row r="51" spans="1:11">
      <c r="A51" s="41"/>
      <c r="B51" s="16" t="s">
        <v>12</v>
      </c>
      <c r="C51" s="9"/>
      <c r="G51" s="13"/>
      <c r="H51" s="14"/>
      <c r="I51" s="14"/>
      <c r="J51" s="14"/>
      <c r="K51" s="43"/>
    </row>
    <row r="52" spans="1:11">
      <c r="A52" s="41"/>
      <c r="B52" s="8" t="s">
        <v>593</v>
      </c>
      <c r="C52" s="9"/>
      <c r="D52" s="10">
        <v>1</v>
      </c>
      <c r="E52" s="11" t="s">
        <v>8</v>
      </c>
      <c r="F52" s="12">
        <v>4</v>
      </c>
      <c r="G52" s="13"/>
      <c r="H52" s="14"/>
      <c r="I52" s="14"/>
      <c r="J52" s="14">
        <f t="shared" ref="J52" si="8">ROUNDUP(PRODUCT(D52:I52),2)</f>
        <v>4</v>
      </c>
      <c r="K52" s="43"/>
    </row>
    <row r="53" spans="1:11" ht="36">
      <c r="A53" s="41"/>
      <c r="B53" s="268" t="s">
        <v>1310</v>
      </c>
      <c r="C53" s="9"/>
      <c r="D53" s="10">
        <v>1</v>
      </c>
      <c r="E53" s="11" t="s">
        <v>8</v>
      </c>
      <c r="F53" s="12">
        <v>2</v>
      </c>
      <c r="G53" s="13"/>
      <c r="H53" s="14"/>
      <c r="I53" s="14"/>
      <c r="J53" s="14">
        <f t="shared" ref="J53" si="9">ROUNDUP(PRODUCT(D53:I53),2)</f>
        <v>2</v>
      </c>
      <c r="K53" s="43"/>
    </row>
    <row r="54" spans="1:11">
      <c r="A54" s="41"/>
      <c r="B54" s="268" t="s">
        <v>1311</v>
      </c>
      <c r="C54" s="9"/>
      <c r="D54" s="10">
        <v>1</v>
      </c>
      <c r="E54" s="11" t="s">
        <v>8</v>
      </c>
      <c r="F54" s="12">
        <v>2</v>
      </c>
      <c r="G54" s="13"/>
      <c r="H54" s="14"/>
      <c r="I54" s="14"/>
      <c r="J54" s="14">
        <f t="shared" ref="J54" si="10">ROUNDUP(PRODUCT(D54:I54),2)</f>
        <v>2</v>
      </c>
      <c r="K54" s="43"/>
    </row>
    <row r="55" spans="1:11">
      <c r="A55" s="41"/>
      <c r="B55" s="173" t="s">
        <v>1312</v>
      </c>
      <c r="C55" s="9"/>
      <c r="G55" s="13"/>
      <c r="H55" s="14"/>
      <c r="I55" s="14"/>
      <c r="J55" s="14"/>
      <c r="K55" s="43"/>
    </row>
    <row r="56" spans="1:11">
      <c r="A56" s="41"/>
      <c r="B56" s="8" t="s">
        <v>1313</v>
      </c>
      <c r="C56" s="9"/>
      <c r="D56" s="10">
        <v>3</v>
      </c>
      <c r="E56" s="11" t="s">
        <v>8</v>
      </c>
      <c r="F56" s="12">
        <v>2</v>
      </c>
      <c r="G56" s="13"/>
      <c r="H56" s="14"/>
      <c r="I56" s="14"/>
      <c r="J56" s="14">
        <f t="shared" ref="J56:J68" si="11">ROUNDUP(PRODUCT(D56:I56),2)</f>
        <v>6</v>
      </c>
      <c r="K56" s="43"/>
    </row>
    <row r="57" spans="1:11">
      <c r="A57" s="41"/>
      <c r="B57" s="8" t="s">
        <v>1314</v>
      </c>
      <c r="C57" s="9"/>
      <c r="D57" s="10">
        <v>3</v>
      </c>
      <c r="E57" s="11" t="s">
        <v>8</v>
      </c>
      <c r="F57" s="12">
        <v>2</v>
      </c>
      <c r="G57" s="13"/>
      <c r="H57" s="14"/>
      <c r="I57" s="14"/>
      <c r="J57" s="14">
        <f t="shared" si="11"/>
        <v>6</v>
      </c>
      <c r="K57" s="43"/>
    </row>
    <row r="58" spans="1:11">
      <c r="A58" s="41"/>
      <c r="B58" s="8" t="s">
        <v>1315</v>
      </c>
      <c r="C58" s="9"/>
      <c r="D58" s="10">
        <v>3</v>
      </c>
      <c r="E58" s="11" t="s">
        <v>8</v>
      </c>
      <c r="F58" s="12">
        <v>2</v>
      </c>
      <c r="G58" s="13"/>
      <c r="H58" s="14"/>
      <c r="I58" s="14"/>
      <c r="J58" s="14">
        <f t="shared" si="11"/>
        <v>6</v>
      </c>
      <c r="K58" s="43"/>
    </row>
    <row r="59" spans="1:11">
      <c r="A59" s="41"/>
      <c r="B59" s="8" t="s">
        <v>1316</v>
      </c>
      <c r="C59" s="9"/>
      <c r="D59" s="10">
        <v>3</v>
      </c>
      <c r="E59" s="11" t="s">
        <v>8</v>
      </c>
      <c r="F59" s="12">
        <v>2</v>
      </c>
      <c r="G59" s="13"/>
      <c r="H59" s="14"/>
      <c r="I59" s="14"/>
      <c r="J59" s="14">
        <f t="shared" si="11"/>
        <v>6</v>
      </c>
      <c r="K59" s="43"/>
    </row>
    <row r="60" spans="1:11">
      <c r="A60" s="41"/>
      <c r="B60" s="8" t="s">
        <v>1317</v>
      </c>
      <c r="C60" s="9"/>
      <c r="D60" s="10">
        <v>3</v>
      </c>
      <c r="E60" s="11" t="s">
        <v>8</v>
      </c>
      <c r="F60" s="12">
        <v>2</v>
      </c>
      <c r="G60" s="13"/>
      <c r="H60" s="14"/>
      <c r="I60" s="14"/>
      <c r="J60" s="14">
        <f t="shared" si="11"/>
        <v>6</v>
      </c>
      <c r="K60" s="43"/>
    </row>
    <row r="61" spans="1:11">
      <c r="A61" s="41"/>
      <c r="B61" s="8" t="s">
        <v>1318</v>
      </c>
      <c r="C61" s="9"/>
      <c r="D61" s="10">
        <v>3</v>
      </c>
      <c r="E61" s="11" t="s">
        <v>8</v>
      </c>
      <c r="F61" s="12">
        <v>4</v>
      </c>
      <c r="G61" s="13"/>
      <c r="H61" s="14"/>
      <c r="I61" s="14"/>
      <c r="J61" s="14">
        <f t="shared" si="11"/>
        <v>12</v>
      </c>
      <c r="K61" s="43"/>
    </row>
    <row r="62" spans="1:11">
      <c r="A62" s="41"/>
      <c r="B62" s="8" t="s">
        <v>1319</v>
      </c>
      <c r="C62" s="9"/>
      <c r="D62" s="10">
        <v>3</v>
      </c>
      <c r="E62" s="11" t="s">
        <v>8</v>
      </c>
      <c r="F62" s="12">
        <v>4</v>
      </c>
      <c r="G62" s="13"/>
      <c r="H62" s="14"/>
      <c r="I62" s="14"/>
      <c r="J62" s="14">
        <f t="shared" si="11"/>
        <v>12</v>
      </c>
      <c r="K62" s="43"/>
    </row>
    <row r="63" spans="1:11">
      <c r="A63" s="41"/>
      <c r="B63" s="8" t="s">
        <v>1320</v>
      </c>
      <c r="C63" s="9"/>
      <c r="D63" s="10">
        <v>3</v>
      </c>
      <c r="E63" s="11" t="s">
        <v>8</v>
      </c>
      <c r="F63" s="12">
        <v>4</v>
      </c>
      <c r="G63" s="13"/>
      <c r="H63" s="14"/>
      <c r="I63" s="14"/>
      <c r="J63" s="14">
        <f t="shared" si="11"/>
        <v>12</v>
      </c>
      <c r="K63" s="43"/>
    </row>
    <row r="64" spans="1:11">
      <c r="A64" s="41"/>
      <c r="B64" s="8" t="s">
        <v>1321</v>
      </c>
      <c r="C64" s="9"/>
      <c r="D64" s="10">
        <v>3</v>
      </c>
      <c r="E64" s="11" t="s">
        <v>8</v>
      </c>
      <c r="F64" s="12">
        <v>4</v>
      </c>
      <c r="G64" s="13"/>
      <c r="H64" s="14"/>
      <c r="I64" s="14"/>
      <c r="J64" s="14">
        <f t="shared" si="11"/>
        <v>12</v>
      </c>
      <c r="K64" s="43"/>
    </row>
    <row r="65" spans="1:11">
      <c r="A65" s="41"/>
      <c r="B65" s="8" t="s">
        <v>1322</v>
      </c>
      <c r="C65" s="9"/>
      <c r="D65" s="10">
        <v>3</v>
      </c>
      <c r="E65" s="11" t="s">
        <v>8</v>
      </c>
      <c r="F65" s="12">
        <v>4</v>
      </c>
      <c r="G65" s="13"/>
      <c r="H65" s="14"/>
      <c r="I65" s="14"/>
      <c r="J65" s="14">
        <f t="shared" si="11"/>
        <v>12</v>
      </c>
      <c r="K65" s="43"/>
    </row>
    <row r="66" spans="1:11">
      <c r="A66" s="41"/>
      <c r="B66" s="8" t="s">
        <v>1323</v>
      </c>
      <c r="C66" s="9"/>
      <c r="D66" s="10">
        <v>3</v>
      </c>
      <c r="E66" s="11" t="s">
        <v>8</v>
      </c>
      <c r="F66" s="12">
        <v>4</v>
      </c>
      <c r="G66" s="13"/>
      <c r="H66" s="14"/>
      <c r="I66" s="14"/>
      <c r="J66" s="14">
        <f t="shared" si="11"/>
        <v>12</v>
      </c>
      <c r="K66" s="43"/>
    </row>
    <row r="67" spans="1:11">
      <c r="A67" s="41"/>
      <c r="B67" s="8" t="s">
        <v>1324</v>
      </c>
      <c r="C67" s="9"/>
      <c r="D67" s="10">
        <v>3</v>
      </c>
      <c r="E67" s="11" t="s">
        <v>8</v>
      </c>
      <c r="F67" s="12">
        <v>4</v>
      </c>
      <c r="G67" s="13"/>
      <c r="H67" s="14"/>
      <c r="I67" s="14"/>
      <c r="J67" s="14">
        <f t="shared" si="11"/>
        <v>12</v>
      </c>
      <c r="K67" s="43"/>
    </row>
    <row r="68" spans="1:11">
      <c r="A68" s="41"/>
      <c r="B68" s="8" t="s">
        <v>1325</v>
      </c>
      <c r="C68" s="9"/>
      <c r="D68" s="10">
        <v>3</v>
      </c>
      <c r="E68" s="11" t="s">
        <v>8</v>
      </c>
      <c r="F68" s="12">
        <v>4</v>
      </c>
      <c r="G68" s="13"/>
      <c r="H68" s="14"/>
      <c r="I68" s="14"/>
      <c r="J68" s="14">
        <f t="shared" si="11"/>
        <v>12</v>
      </c>
      <c r="K68" s="43"/>
    </row>
    <row r="69" spans="1:11">
      <c r="A69" s="41"/>
      <c r="B69" s="55" t="s">
        <v>28</v>
      </c>
      <c r="C69" s="9"/>
      <c r="G69" s="13"/>
      <c r="H69" s="14"/>
      <c r="I69" s="14"/>
      <c r="J69" s="51">
        <f>SUM(J52:J68)</f>
        <v>134</v>
      </c>
      <c r="K69" s="42" t="s">
        <v>51</v>
      </c>
    </row>
    <row r="70" spans="1:11" ht="58.5" customHeight="1">
      <c r="A70" s="41" t="str">
        <f>'Loose Furniture and Chairs'!A9</f>
        <v>b</v>
      </c>
      <c r="B70" s="775" t="str">
        <f>'Loose Furniture and Chairs'!B9</f>
        <v>SIDE TABLE1200 W X 450 D X 750 H                                         All panel 18mm thick prelam partical board finish, 2mm edge banding finish. Swing type shutter.</v>
      </c>
      <c r="C70" s="776"/>
      <c r="D70" s="776"/>
      <c r="E70" s="776"/>
      <c r="F70" s="776"/>
      <c r="G70" s="776"/>
      <c r="H70" s="776"/>
      <c r="I70" s="776"/>
      <c r="J70" s="776"/>
      <c r="K70" s="777"/>
    </row>
    <row r="71" spans="1:11">
      <c r="A71" s="41"/>
      <c r="B71" s="16" t="s">
        <v>12</v>
      </c>
      <c r="C71" s="9"/>
      <c r="G71" s="13"/>
      <c r="H71" s="14"/>
      <c r="I71" s="14"/>
      <c r="J71" s="14"/>
      <c r="K71" s="43"/>
    </row>
    <row r="72" spans="1:11">
      <c r="A72" s="41"/>
      <c r="B72" s="8" t="s">
        <v>593</v>
      </c>
      <c r="C72" s="9"/>
      <c r="D72" s="10">
        <v>0</v>
      </c>
      <c r="E72" s="11" t="s">
        <v>8</v>
      </c>
      <c r="F72" s="12">
        <v>4</v>
      </c>
      <c r="G72" s="13"/>
      <c r="H72" s="14"/>
      <c r="I72" s="14"/>
      <c r="J72" s="14">
        <f t="shared" ref="J72:J74" si="12">ROUNDUP(PRODUCT(D72:I72),2)</f>
        <v>0</v>
      </c>
      <c r="K72" s="43"/>
    </row>
    <row r="73" spans="1:11" ht="36">
      <c r="A73" s="41"/>
      <c r="B73" s="268" t="s">
        <v>1310</v>
      </c>
      <c r="C73" s="9"/>
      <c r="D73" s="10">
        <v>0</v>
      </c>
      <c r="E73" s="11" t="s">
        <v>8</v>
      </c>
      <c r="F73" s="12">
        <v>2</v>
      </c>
      <c r="G73" s="13"/>
      <c r="H73" s="14"/>
      <c r="I73" s="14"/>
      <c r="J73" s="14">
        <f t="shared" si="12"/>
        <v>0</v>
      </c>
      <c r="K73" s="43"/>
    </row>
    <row r="74" spans="1:11">
      <c r="A74" s="41"/>
      <c r="B74" s="268" t="s">
        <v>1311</v>
      </c>
      <c r="C74" s="9"/>
      <c r="D74" s="10">
        <v>0</v>
      </c>
      <c r="E74" s="11" t="s">
        <v>8</v>
      </c>
      <c r="F74" s="12">
        <v>2</v>
      </c>
      <c r="G74" s="13"/>
      <c r="H74" s="14"/>
      <c r="I74" s="14"/>
      <c r="J74" s="14">
        <f t="shared" si="12"/>
        <v>0</v>
      </c>
      <c r="K74" s="43"/>
    </row>
    <row r="75" spans="1:11">
      <c r="A75" s="41"/>
      <c r="B75" s="8" t="s">
        <v>1326</v>
      </c>
      <c r="C75" s="9"/>
      <c r="G75" s="13"/>
      <c r="H75" s="14"/>
      <c r="I75" s="14"/>
      <c r="J75" s="14"/>
      <c r="K75" s="43"/>
    </row>
    <row r="76" spans="1:11">
      <c r="A76" s="41"/>
      <c r="B76" s="8" t="s">
        <v>1313</v>
      </c>
      <c r="C76" s="9"/>
      <c r="D76" s="10">
        <v>0</v>
      </c>
      <c r="E76" s="11" t="s">
        <v>8</v>
      </c>
      <c r="F76" s="12">
        <v>2</v>
      </c>
      <c r="G76" s="13"/>
      <c r="H76" s="14"/>
      <c r="I76" s="14"/>
      <c r="J76" s="14">
        <f t="shared" ref="J76:J78" si="13">ROUNDUP(PRODUCT(D76:I76),2)</f>
        <v>0</v>
      </c>
      <c r="K76" s="43"/>
    </row>
    <row r="77" spans="1:11">
      <c r="A77" s="41"/>
      <c r="B77" s="8" t="s">
        <v>1612</v>
      </c>
      <c r="C77" s="9"/>
      <c r="D77" s="10">
        <v>0</v>
      </c>
      <c r="E77" s="11" t="s">
        <v>8</v>
      </c>
      <c r="F77" s="12">
        <v>2</v>
      </c>
      <c r="G77" s="13"/>
      <c r="H77" s="14"/>
      <c r="I77" s="14"/>
      <c r="J77" s="14">
        <f t="shared" si="13"/>
        <v>0</v>
      </c>
      <c r="K77" s="43"/>
    </row>
    <row r="78" spans="1:11">
      <c r="A78" s="41"/>
      <c r="B78" s="8" t="s">
        <v>1613</v>
      </c>
      <c r="C78" s="9"/>
      <c r="D78" s="10">
        <v>0</v>
      </c>
      <c r="E78" s="11" t="s">
        <v>8</v>
      </c>
      <c r="F78" s="12">
        <v>2</v>
      </c>
      <c r="G78" s="13"/>
      <c r="H78" s="14"/>
      <c r="I78" s="14"/>
      <c r="J78" s="14">
        <f t="shared" si="13"/>
        <v>0</v>
      </c>
      <c r="K78" s="43"/>
    </row>
    <row r="79" spans="1:11">
      <c r="A79" s="41"/>
      <c r="B79" s="268"/>
      <c r="C79" s="9"/>
      <c r="G79" s="13"/>
      <c r="H79" s="14"/>
      <c r="I79" s="14"/>
      <c r="J79" s="14"/>
      <c r="K79" s="43"/>
    </row>
    <row r="80" spans="1:11">
      <c r="A80" s="41"/>
      <c r="B80" s="173" t="s">
        <v>1312</v>
      </c>
      <c r="C80" s="9"/>
      <c r="G80" s="13"/>
      <c r="H80" s="14"/>
      <c r="I80" s="14"/>
      <c r="J80" s="14"/>
      <c r="K80" s="43"/>
    </row>
    <row r="81" spans="1:11">
      <c r="A81" s="41"/>
      <c r="B81" s="8" t="s">
        <v>1313</v>
      </c>
      <c r="C81" s="9"/>
      <c r="D81" s="10">
        <v>0</v>
      </c>
      <c r="E81" s="11" t="s">
        <v>8</v>
      </c>
      <c r="F81" s="12">
        <v>2</v>
      </c>
      <c r="G81" s="13"/>
      <c r="H81" s="14"/>
      <c r="I81" s="14"/>
      <c r="J81" s="14">
        <f t="shared" ref="J81:J93" si="14">ROUNDUP(PRODUCT(D81:I81),2)</f>
        <v>0</v>
      </c>
      <c r="K81" s="43"/>
    </row>
    <row r="82" spans="1:11">
      <c r="A82" s="41"/>
      <c r="B82" s="8" t="s">
        <v>1314</v>
      </c>
      <c r="C82" s="9"/>
      <c r="D82" s="10">
        <v>0</v>
      </c>
      <c r="E82" s="11" t="s">
        <v>8</v>
      </c>
      <c r="F82" s="12">
        <v>2</v>
      </c>
      <c r="G82" s="13"/>
      <c r="H82" s="14"/>
      <c r="I82" s="14"/>
      <c r="J82" s="14">
        <f t="shared" si="14"/>
        <v>0</v>
      </c>
      <c r="K82" s="43"/>
    </row>
    <row r="83" spans="1:11">
      <c r="A83" s="41"/>
      <c r="B83" s="8" t="s">
        <v>1315</v>
      </c>
      <c r="C83" s="9"/>
      <c r="D83" s="10">
        <v>0</v>
      </c>
      <c r="E83" s="11" t="s">
        <v>8</v>
      </c>
      <c r="F83" s="12">
        <v>2</v>
      </c>
      <c r="G83" s="13"/>
      <c r="H83" s="14"/>
      <c r="I83" s="14"/>
      <c r="J83" s="14">
        <f t="shared" si="14"/>
        <v>0</v>
      </c>
      <c r="K83" s="43"/>
    </row>
    <row r="84" spans="1:11">
      <c r="A84" s="41"/>
      <c r="B84" s="8" t="s">
        <v>1316</v>
      </c>
      <c r="C84" s="9"/>
      <c r="D84" s="10">
        <v>0</v>
      </c>
      <c r="E84" s="11" t="s">
        <v>8</v>
      </c>
      <c r="F84" s="12">
        <v>2</v>
      </c>
      <c r="G84" s="13"/>
      <c r="H84" s="14"/>
      <c r="I84" s="14"/>
      <c r="J84" s="14">
        <f t="shared" si="14"/>
        <v>0</v>
      </c>
      <c r="K84" s="43"/>
    </row>
    <row r="85" spans="1:11">
      <c r="A85" s="41"/>
      <c r="B85" s="8" t="s">
        <v>1317</v>
      </c>
      <c r="C85" s="9"/>
      <c r="D85" s="10">
        <v>0</v>
      </c>
      <c r="E85" s="11" t="s">
        <v>8</v>
      </c>
      <c r="F85" s="12">
        <v>2</v>
      </c>
      <c r="G85" s="13"/>
      <c r="H85" s="14"/>
      <c r="I85" s="14"/>
      <c r="J85" s="14">
        <f t="shared" si="14"/>
        <v>0</v>
      </c>
      <c r="K85" s="43"/>
    </row>
    <row r="86" spans="1:11">
      <c r="A86" s="41"/>
      <c r="B86" s="8" t="s">
        <v>1318</v>
      </c>
      <c r="C86" s="9"/>
      <c r="D86" s="10">
        <v>3</v>
      </c>
      <c r="E86" s="11" t="s">
        <v>8</v>
      </c>
      <c r="F86" s="12">
        <v>4</v>
      </c>
      <c r="G86" s="13"/>
      <c r="H86" s="14"/>
      <c r="I86" s="14"/>
      <c r="J86" s="14">
        <f t="shared" si="14"/>
        <v>12</v>
      </c>
      <c r="K86" s="43"/>
    </row>
    <row r="87" spans="1:11">
      <c r="A87" s="41"/>
      <c r="B87" s="8" t="s">
        <v>1319</v>
      </c>
      <c r="C87" s="9"/>
      <c r="D87" s="10">
        <v>3</v>
      </c>
      <c r="E87" s="11" t="s">
        <v>8</v>
      </c>
      <c r="F87" s="12">
        <v>4</v>
      </c>
      <c r="G87" s="13"/>
      <c r="H87" s="14"/>
      <c r="I87" s="14"/>
      <c r="J87" s="14">
        <f t="shared" si="14"/>
        <v>12</v>
      </c>
      <c r="K87" s="43"/>
    </row>
    <row r="88" spans="1:11">
      <c r="A88" s="41"/>
      <c r="B88" s="8" t="s">
        <v>1320</v>
      </c>
      <c r="C88" s="9"/>
      <c r="D88" s="10">
        <v>3</v>
      </c>
      <c r="E88" s="11" t="s">
        <v>8</v>
      </c>
      <c r="F88" s="12">
        <v>4</v>
      </c>
      <c r="G88" s="13"/>
      <c r="H88" s="14"/>
      <c r="I88" s="14"/>
      <c r="J88" s="14">
        <f t="shared" si="14"/>
        <v>12</v>
      </c>
      <c r="K88" s="43"/>
    </row>
    <row r="89" spans="1:11">
      <c r="A89" s="41"/>
      <c r="B89" s="8" t="s">
        <v>1321</v>
      </c>
      <c r="C89" s="9"/>
      <c r="D89" s="10">
        <v>3</v>
      </c>
      <c r="E89" s="11" t="s">
        <v>8</v>
      </c>
      <c r="F89" s="12">
        <v>4</v>
      </c>
      <c r="G89" s="13"/>
      <c r="H89" s="14"/>
      <c r="I89" s="14"/>
      <c r="J89" s="14">
        <f t="shared" si="14"/>
        <v>12</v>
      </c>
      <c r="K89" s="43"/>
    </row>
    <row r="90" spans="1:11">
      <c r="A90" s="41"/>
      <c r="B90" s="8" t="s">
        <v>1322</v>
      </c>
      <c r="C90" s="9"/>
      <c r="D90" s="10">
        <v>3</v>
      </c>
      <c r="E90" s="11" t="s">
        <v>8</v>
      </c>
      <c r="F90" s="12">
        <v>4</v>
      </c>
      <c r="G90" s="13"/>
      <c r="H90" s="14"/>
      <c r="I90" s="14"/>
      <c r="J90" s="14">
        <f t="shared" si="14"/>
        <v>12</v>
      </c>
      <c r="K90" s="43"/>
    </row>
    <row r="91" spans="1:11">
      <c r="A91" s="41"/>
      <c r="B91" s="8" t="s">
        <v>1323</v>
      </c>
      <c r="C91" s="9"/>
      <c r="D91" s="10">
        <v>3</v>
      </c>
      <c r="E91" s="11" t="s">
        <v>8</v>
      </c>
      <c r="F91" s="12">
        <v>4</v>
      </c>
      <c r="G91" s="13"/>
      <c r="H91" s="14"/>
      <c r="I91" s="14"/>
      <c r="J91" s="14">
        <f t="shared" si="14"/>
        <v>12</v>
      </c>
      <c r="K91" s="43"/>
    </row>
    <row r="92" spans="1:11">
      <c r="A92" s="41"/>
      <c r="B92" s="8" t="s">
        <v>1324</v>
      </c>
      <c r="C92" s="9"/>
      <c r="D92" s="10">
        <v>3</v>
      </c>
      <c r="E92" s="11" t="s">
        <v>8</v>
      </c>
      <c r="F92" s="12">
        <v>4</v>
      </c>
      <c r="G92" s="13"/>
      <c r="H92" s="14"/>
      <c r="I92" s="14"/>
      <c r="J92" s="14">
        <f t="shared" si="14"/>
        <v>12</v>
      </c>
      <c r="K92" s="43"/>
    </row>
    <row r="93" spans="1:11">
      <c r="A93" s="41"/>
      <c r="B93" s="8" t="s">
        <v>1325</v>
      </c>
      <c r="C93" s="9"/>
      <c r="D93" s="10">
        <v>3</v>
      </c>
      <c r="E93" s="11" t="s">
        <v>8</v>
      </c>
      <c r="F93" s="12">
        <v>4</v>
      </c>
      <c r="G93" s="13"/>
      <c r="H93" s="14"/>
      <c r="I93" s="14"/>
      <c r="J93" s="14">
        <f t="shared" si="14"/>
        <v>12</v>
      </c>
      <c r="K93" s="43"/>
    </row>
    <row r="94" spans="1:11">
      <c r="A94" s="41"/>
      <c r="B94" s="55" t="s">
        <v>28</v>
      </c>
      <c r="C94" s="9"/>
      <c r="G94" s="13"/>
      <c r="H94" s="14"/>
      <c r="I94" s="14"/>
      <c r="J94" s="51">
        <f>SUM(J72:J93)</f>
        <v>96</v>
      </c>
      <c r="K94" s="42" t="s">
        <v>51</v>
      </c>
    </row>
    <row r="95" spans="1:11" ht="118.5" customHeight="1">
      <c r="A95" s="41" t="str">
        <f>'Loose Furniture and Chairs'!A10</f>
        <v>d</v>
      </c>
      <c r="B95" s="778" t="str">
        <f>'Loose Furniture and Chairs'!B10</f>
        <v>STUDY TABLE WITH SELFSize : 1050 x 550 x 750 HtWooden/MDF Bed 25mm thick head board and foot board MDF board with 2mm edge banding finish. Support section ms powder coating finish.</v>
      </c>
      <c r="C95" s="779"/>
      <c r="D95" s="779"/>
      <c r="E95" s="779"/>
      <c r="F95" s="779"/>
      <c r="G95" s="779"/>
      <c r="H95" s="779"/>
      <c r="I95" s="779"/>
      <c r="J95" s="779"/>
      <c r="K95" s="780"/>
    </row>
    <row r="96" spans="1:11">
      <c r="A96" s="41"/>
      <c r="B96" s="16" t="s">
        <v>12</v>
      </c>
      <c r="C96" s="9"/>
      <c r="G96" s="13"/>
      <c r="H96" s="14"/>
      <c r="I96" s="14"/>
      <c r="J96" s="14"/>
      <c r="K96" s="43"/>
    </row>
    <row r="97" spans="1:11">
      <c r="A97" s="41"/>
      <c r="B97" s="8" t="s">
        <v>593</v>
      </c>
      <c r="C97" s="9"/>
      <c r="D97" s="10">
        <v>1</v>
      </c>
      <c r="E97" s="11" t="s">
        <v>8</v>
      </c>
      <c r="F97" s="12">
        <v>4</v>
      </c>
      <c r="G97" s="13"/>
      <c r="H97" s="14"/>
      <c r="I97" s="14"/>
      <c r="J97" s="107">
        <f t="shared" ref="J97:J99" si="15">ROUNDUP(PRODUCT(D97:I97),2)</f>
        <v>4</v>
      </c>
      <c r="K97" s="43"/>
    </row>
    <row r="98" spans="1:11" ht="36">
      <c r="A98" s="41"/>
      <c r="B98" s="268" t="s">
        <v>1310</v>
      </c>
      <c r="C98" s="9"/>
      <c r="D98" s="10">
        <v>1</v>
      </c>
      <c r="E98" s="11" t="s">
        <v>8</v>
      </c>
      <c r="F98" s="12">
        <v>2</v>
      </c>
      <c r="G98" s="13"/>
      <c r="H98" s="14"/>
      <c r="I98" s="14"/>
      <c r="J98" s="107">
        <f t="shared" si="15"/>
        <v>2</v>
      </c>
      <c r="K98" s="43"/>
    </row>
    <row r="99" spans="1:11">
      <c r="A99" s="41"/>
      <c r="B99" s="268" t="s">
        <v>1311</v>
      </c>
      <c r="C99" s="9"/>
      <c r="D99" s="10">
        <v>1</v>
      </c>
      <c r="E99" s="11" t="s">
        <v>8</v>
      </c>
      <c r="F99" s="12">
        <v>2</v>
      </c>
      <c r="G99" s="13"/>
      <c r="H99" s="14"/>
      <c r="I99" s="14"/>
      <c r="J99" s="107">
        <f t="shared" si="15"/>
        <v>2</v>
      </c>
      <c r="K99" s="43"/>
    </row>
    <row r="100" spans="1:11">
      <c r="A100" s="41"/>
      <c r="B100" s="8" t="s">
        <v>1326</v>
      </c>
      <c r="C100" s="9"/>
      <c r="G100" s="13"/>
      <c r="H100" s="14"/>
      <c r="I100" s="14"/>
      <c r="J100" s="14"/>
      <c r="K100" s="43"/>
    </row>
    <row r="101" spans="1:11">
      <c r="A101" s="41"/>
      <c r="B101" s="8" t="s">
        <v>1313</v>
      </c>
      <c r="C101" s="9"/>
      <c r="D101" s="10">
        <v>0</v>
      </c>
      <c r="E101" s="11" t="s">
        <v>8</v>
      </c>
      <c r="F101" s="12">
        <v>2</v>
      </c>
      <c r="G101" s="13"/>
      <c r="H101" s="14"/>
      <c r="I101" s="14"/>
      <c r="J101" s="14">
        <f t="shared" ref="J101:J103" si="16">ROUNDUP(PRODUCT(D101:I101),2)</f>
        <v>0</v>
      </c>
      <c r="K101" s="43"/>
    </row>
    <row r="102" spans="1:11">
      <c r="A102" s="41"/>
      <c r="B102" s="8" t="s">
        <v>1612</v>
      </c>
      <c r="C102" s="9"/>
      <c r="D102" s="10">
        <v>0</v>
      </c>
      <c r="E102" s="11" t="s">
        <v>8</v>
      </c>
      <c r="F102" s="12">
        <v>2</v>
      </c>
      <c r="G102" s="13"/>
      <c r="H102" s="14"/>
      <c r="I102" s="14"/>
      <c r="J102" s="14">
        <f t="shared" si="16"/>
        <v>0</v>
      </c>
      <c r="K102" s="43"/>
    </row>
    <row r="103" spans="1:11">
      <c r="A103" s="41"/>
      <c r="B103" s="8" t="s">
        <v>1613</v>
      </c>
      <c r="C103" s="9"/>
      <c r="D103" s="10">
        <v>0</v>
      </c>
      <c r="E103" s="11" t="s">
        <v>8</v>
      </c>
      <c r="F103" s="12">
        <v>2</v>
      </c>
      <c r="G103" s="13"/>
      <c r="H103" s="14"/>
      <c r="I103" s="14"/>
      <c r="J103" s="14">
        <f t="shared" si="16"/>
        <v>0</v>
      </c>
      <c r="K103" s="43"/>
    </row>
    <row r="104" spans="1:11">
      <c r="A104" s="41"/>
      <c r="B104" s="8"/>
      <c r="C104" s="9"/>
      <c r="G104" s="13"/>
      <c r="H104" s="14"/>
      <c r="I104" s="14"/>
      <c r="J104" s="14"/>
      <c r="K104" s="43"/>
    </row>
    <row r="105" spans="1:11">
      <c r="A105" s="41"/>
      <c r="B105" s="173" t="s">
        <v>1312</v>
      </c>
      <c r="C105" s="9"/>
      <c r="G105" s="13"/>
      <c r="H105" s="14"/>
      <c r="I105" s="14"/>
      <c r="J105" s="107"/>
      <c r="K105" s="43"/>
    </row>
    <row r="106" spans="1:11">
      <c r="A106" s="41"/>
      <c r="B106" s="8" t="s">
        <v>1313</v>
      </c>
      <c r="C106" s="9"/>
      <c r="D106" s="10">
        <v>3</v>
      </c>
      <c r="E106" s="11" t="s">
        <v>8</v>
      </c>
      <c r="F106" s="12">
        <v>2</v>
      </c>
      <c r="G106" s="13"/>
      <c r="H106" s="14"/>
      <c r="I106" s="14"/>
      <c r="J106" s="107">
        <f>ROUNDUP(PRODUCT(D106:I106),2)</f>
        <v>6</v>
      </c>
      <c r="K106" s="43"/>
    </row>
    <row r="107" spans="1:11">
      <c r="A107" s="41"/>
      <c r="B107" s="8" t="s">
        <v>1314</v>
      </c>
      <c r="C107" s="9"/>
      <c r="D107" s="10">
        <v>3</v>
      </c>
      <c r="E107" s="11" t="s">
        <v>8</v>
      </c>
      <c r="F107" s="12">
        <v>2</v>
      </c>
      <c r="G107" s="13"/>
      <c r="H107" s="14"/>
      <c r="I107" s="14"/>
      <c r="J107" s="107">
        <f>ROUNDUP(PRODUCT(D107:I107),2)</f>
        <v>6</v>
      </c>
      <c r="K107" s="43"/>
    </row>
    <row r="108" spans="1:11">
      <c r="A108" s="41"/>
      <c r="B108" s="8" t="s">
        <v>1315</v>
      </c>
      <c r="C108" s="9"/>
      <c r="D108" s="10">
        <v>3</v>
      </c>
      <c r="E108" s="11" t="s">
        <v>8</v>
      </c>
      <c r="F108" s="12">
        <v>2</v>
      </c>
      <c r="G108" s="13"/>
      <c r="H108" s="14"/>
      <c r="I108" s="14"/>
      <c r="J108" s="107">
        <f>ROUNDUP(PRODUCT(D108:I108),2)</f>
        <v>6</v>
      </c>
      <c r="K108" s="43"/>
    </row>
    <row r="109" spans="1:11">
      <c r="A109" s="41"/>
      <c r="B109" s="8" t="s">
        <v>1316</v>
      </c>
      <c r="C109" s="9"/>
      <c r="D109" s="10">
        <v>3</v>
      </c>
      <c r="E109" s="11" t="s">
        <v>8</v>
      </c>
      <c r="F109" s="12">
        <v>2</v>
      </c>
      <c r="G109" s="13"/>
      <c r="H109" s="14"/>
      <c r="I109" s="14"/>
      <c r="J109" s="107">
        <f>ROUNDUP(PRODUCT(D109:I109),2)</f>
        <v>6</v>
      </c>
      <c r="K109" s="43"/>
    </row>
    <row r="110" spans="1:11">
      <c r="A110" s="41"/>
      <c r="B110" s="8" t="s">
        <v>1317</v>
      </c>
      <c r="C110" s="9"/>
      <c r="D110" s="10">
        <v>3</v>
      </c>
      <c r="E110" s="11" t="s">
        <v>8</v>
      </c>
      <c r="F110" s="12">
        <v>2</v>
      </c>
      <c r="G110" s="13"/>
      <c r="H110" s="14"/>
      <c r="I110" s="14"/>
      <c r="J110" s="107">
        <f>ROUNDUP(PRODUCT(D110:I110),2)</f>
        <v>6</v>
      </c>
      <c r="K110" s="43"/>
    </row>
    <row r="111" spans="1:11">
      <c r="A111" s="41"/>
      <c r="B111" s="8" t="s">
        <v>1318</v>
      </c>
      <c r="C111" s="9"/>
      <c r="D111" s="10">
        <v>3</v>
      </c>
      <c r="E111" s="11" t="s">
        <v>8</v>
      </c>
      <c r="F111" s="12">
        <v>4</v>
      </c>
      <c r="G111" s="13"/>
      <c r="H111" s="14"/>
      <c r="I111" s="14"/>
      <c r="J111" s="107">
        <f t="shared" ref="J111:J118" si="17">ROUNDUP(PRODUCT(D111:I111),2)</f>
        <v>12</v>
      </c>
      <c r="K111" s="43"/>
    </row>
    <row r="112" spans="1:11">
      <c r="A112" s="41"/>
      <c r="B112" s="8" t="s">
        <v>1319</v>
      </c>
      <c r="C112" s="9"/>
      <c r="D112" s="10">
        <v>3</v>
      </c>
      <c r="E112" s="11" t="s">
        <v>8</v>
      </c>
      <c r="F112" s="12">
        <v>4</v>
      </c>
      <c r="G112" s="13"/>
      <c r="H112" s="14"/>
      <c r="I112" s="14"/>
      <c r="J112" s="107">
        <f t="shared" si="17"/>
        <v>12</v>
      </c>
      <c r="K112" s="43"/>
    </row>
    <row r="113" spans="1:13">
      <c r="A113" s="41"/>
      <c r="B113" s="8" t="s">
        <v>1320</v>
      </c>
      <c r="C113" s="9"/>
      <c r="D113" s="10">
        <v>3</v>
      </c>
      <c r="E113" s="11" t="s">
        <v>8</v>
      </c>
      <c r="F113" s="12">
        <v>4</v>
      </c>
      <c r="G113" s="13"/>
      <c r="H113" s="14"/>
      <c r="I113" s="14"/>
      <c r="J113" s="107">
        <f t="shared" si="17"/>
        <v>12</v>
      </c>
      <c r="K113" s="43"/>
    </row>
    <row r="114" spans="1:13">
      <c r="A114" s="41"/>
      <c r="B114" s="8" t="s">
        <v>1321</v>
      </c>
      <c r="C114" s="9"/>
      <c r="D114" s="10">
        <v>3</v>
      </c>
      <c r="E114" s="11" t="s">
        <v>8</v>
      </c>
      <c r="F114" s="12">
        <v>4</v>
      </c>
      <c r="G114" s="13"/>
      <c r="H114" s="14"/>
      <c r="I114" s="14"/>
      <c r="J114" s="107">
        <f t="shared" si="17"/>
        <v>12</v>
      </c>
      <c r="K114" s="43"/>
    </row>
    <row r="115" spans="1:13">
      <c r="A115" s="41"/>
      <c r="B115" s="8" t="s">
        <v>1322</v>
      </c>
      <c r="C115" s="9"/>
      <c r="D115" s="10">
        <v>3</v>
      </c>
      <c r="E115" s="11" t="s">
        <v>8</v>
      </c>
      <c r="F115" s="12">
        <v>4</v>
      </c>
      <c r="G115" s="13"/>
      <c r="H115" s="14"/>
      <c r="I115" s="14"/>
      <c r="J115" s="107">
        <f t="shared" si="17"/>
        <v>12</v>
      </c>
      <c r="K115" s="43"/>
    </row>
    <row r="116" spans="1:13">
      <c r="A116" s="41"/>
      <c r="B116" s="8" t="s">
        <v>1323</v>
      </c>
      <c r="C116" s="9"/>
      <c r="D116" s="10">
        <v>3</v>
      </c>
      <c r="E116" s="11" t="s">
        <v>8</v>
      </c>
      <c r="F116" s="12">
        <v>4</v>
      </c>
      <c r="G116" s="13"/>
      <c r="H116" s="14"/>
      <c r="I116" s="14"/>
      <c r="J116" s="107">
        <f t="shared" si="17"/>
        <v>12</v>
      </c>
      <c r="K116" s="43"/>
    </row>
    <row r="117" spans="1:13">
      <c r="A117" s="41"/>
      <c r="B117" s="8" t="s">
        <v>1324</v>
      </c>
      <c r="C117" s="9"/>
      <c r="D117" s="10">
        <v>3</v>
      </c>
      <c r="E117" s="11" t="s">
        <v>8</v>
      </c>
      <c r="F117" s="12">
        <v>4</v>
      </c>
      <c r="G117" s="13"/>
      <c r="H117" s="14"/>
      <c r="I117" s="14"/>
      <c r="J117" s="107">
        <f t="shared" si="17"/>
        <v>12</v>
      </c>
      <c r="K117" s="43"/>
    </row>
    <row r="118" spans="1:13">
      <c r="A118" s="41"/>
      <c r="B118" s="8" t="s">
        <v>1325</v>
      </c>
      <c r="C118" s="9"/>
      <c r="D118" s="10">
        <v>3</v>
      </c>
      <c r="E118" s="11" t="s">
        <v>8</v>
      </c>
      <c r="F118" s="12">
        <v>4</v>
      </c>
      <c r="G118" s="13"/>
      <c r="H118" s="14"/>
      <c r="I118" s="14"/>
      <c r="J118" s="107">
        <f t="shared" si="17"/>
        <v>12</v>
      </c>
      <c r="K118" s="43"/>
    </row>
    <row r="119" spans="1:13">
      <c r="A119" s="41"/>
      <c r="B119" s="55" t="s">
        <v>28</v>
      </c>
      <c r="C119" s="9"/>
      <c r="G119" s="13"/>
      <c r="H119" s="14"/>
      <c r="I119" s="14"/>
      <c r="J119" s="51">
        <f>SUM(J97:J118)</f>
        <v>134</v>
      </c>
      <c r="K119" s="42" t="s">
        <v>51</v>
      </c>
    </row>
    <row r="120" spans="1:13">
      <c r="A120" s="41"/>
      <c r="B120" s="442"/>
      <c r="C120" s="138"/>
      <c r="D120" s="11"/>
      <c r="F120" s="11"/>
      <c r="G120" s="104"/>
      <c r="H120" s="104"/>
      <c r="I120" s="104"/>
      <c r="J120" s="345"/>
      <c r="K120" s="136"/>
    </row>
    <row r="121" spans="1:13" ht="33" customHeight="1">
      <c r="A121" s="41" t="str">
        <f>'Loose Furniture and Chairs'!A11</f>
        <v>e</v>
      </c>
      <c r="B121" s="778" t="str">
        <f>'Loose Furniture and Chairs'!B11</f>
        <v>STUDY CHAIR</v>
      </c>
      <c r="C121" s="779"/>
      <c r="D121" s="779"/>
      <c r="E121" s="779"/>
      <c r="F121" s="779"/>
      <c r="G121" s="779"/>
      <c r="H121" s="779"/>
      <c r="I121" s="779"/>
      <c r="J121" s="779"/>
      <c r="K121" s="780"/>
      <c r="M121" s="118"/>
    </row>
    <row r="122" spans="1:13">
      <c r="A122" s="41"/>
      <c r="B122" s="16" t="s">
        <v>12</v>
      </c>
      <c r="C122" s="9"/>
      <c r="G122" s="13"/>
      <c r="H122" s="14"/>
      <c r="I122" s="14"/>
      <c r="J122" s="14"/>
      <c r="K122" s="43"/>
    </row>
    <row r="123" spans="1:13">
      <c r="A123" s="41"/>
      <c r="B123" s="8" t="s">
        <v>593</v>
      </c>
      <c r="C123" s="9"/>
      <c r="D123" s="10">
        <v>1</v>
      </c>
      <c r="E123" s="11" t="s">
        <v>8</v>
      </c>
      <c r="F123" s="12">
        <v>4</v>
      </c>
      <c r="G123" s="13"/>
      <c r="H123" s="14"/>
      <c r="I123" s="14"/>
      <c r="J123" s="14">
        <f t="shared" ref="J123:J143" si="18">ROUNDUP(PRODUCT(D123:I123),2)</f>
        <v>4</v>
      </c>
      <c r="K123" s="43"/>
    </row>
    <row r="124" spans="1:13" ht="36">
      <c r="A124" s="41"/>
      <c r="B124" s="8" t="s">
        <v>1310</v>
      </c>
      <c r="C124" s="9"/>
      <c r="D124" s="10">
        <v>1</v>
      </c>
      <c r="E124" s="11" t="s">
        <v>8</v>
      </c>
      <c r="F124" s="12">
        <v>2</v>
      </c>
      <c r="G124" s="13"/>
      <c r="H124" s="14"/>
      <c r="I124" s="14"/>
      <c r="J124" s="14">
        <f t="shared" si="18"/>
        <v>2</v>
      </c>
      <c r="K124" s="43"/>
    </row>
    <row r="125" spans="1:13">
      <c r="A125" s="41"/>
      <c r="B125" s="8" t="s">
        <v>1311</v>
      </c>
      <c r="C125" s="9"/>
      <c r="D125" s="10">
        <v>1</v>
      </c>
      <c r="E125" s="11" t="s">
        <v>8</v>
      </c>
      <c r="F125" s="12">
        <v>2</v>
      </c>
      <c r="G125" s="13"/>
      <c r="H125" s="14"/>
      <c r="I125" s="14"/>
      <c r="J125" s="14">
        <f t="shared" si="18"/>
        <v>2</v>
      </c>
      <c r="K125" s="43"/>
    </row>
    <row r="126" spans="1:13">
      <c r="A126" s="41"/>
      <c r="B126" s="8" t="s">
        <v>1326</v>
      </c>
      <c r="C126" s="9"/>
      <c r="G126" s="13"/>
      <c r="H126" s="14"/>
      <c r="I126" s="14"/>
      <c r="J126" s="14"/>
      <c r="K126" s="43"/>
    </row>
    <row r="127" spans="1:13">
      <c r="A127" s="41"/>
      <c r="B127" s="8" t="s">
        <v>1313</v>
      </c>
      <c r="C127" s="9"/>
      <c r="D127" s="10">
        <v>0</v>
      </c>
      <c r="E127" s="11" t="s">
        <v>8</v>
      </c>
      <c r="F127" s="12">
        <v>2</v>
      </c>
      <c r="G127" s="13"/>
      <c r="H127" s="14"/>
      <c r="I127" s="14"/>
      <c r="J127" s="14">
        <f t="shared" ref="J127:J129" si="19">ROUNDUP(PRODUCT(D127:I127),2)</f>
        <v>0</v>
      </c>
      <c r="K127" s="43"/>
    </row>
    <row r="128" spans="1:13">
      <c r="A128" s="41"/>
      <c r="B128" s="8" t="s">
        <v>1612</v>
      </c>
      <c r="C128" s="9"/>
      <c r="D128" s="10">
        <v>0</v>
      </c>
      <c r="E128" s="11" t="s">
        <v>8</v>
      </c>
      <c r="F128" s="12">
        <v>2</v>
      </c>
      <c r="G128" s="13"/>
      <c r="H128" s="14"/>
      <c r="I128" s="14"/>
      <c r="J128" s="14">
        <f t="shared" si="19"/>
        <v>0</v>
      </c>
      <c r="K128" s="43"/>
    </row>
    <row r="129" spans="1:11">
      <c r="A129" s="41"/>
      <c r="B129" s="8" t="s">
        <v>1613</v>
      </c>
      <c r="C129" s="9"/>
      <c r="D129" s="10">
        <v>0</v>
      </c>
      <c r="E129" s="11" t="s">
        <v>8</v>
      </c>
      <c r="F129" s="12">
        <v>2</v>
      </c>
      <c r="G129" s="13"/>
      <c r="H129" s="14"/>
      <c r="I129" s="14"/>
      <c r="J129" s="14">
        <f t="shared" si="19"/>
        <v>0</v>
      </c>
      <c r="K129" s="43"/>
    </row>
    <row r="130" spans="1:11">
      <c r="A130" s="41"/>
      <c r="B130" s="16" t="s">
        <v>1312</v>
      </c>
      <c r="C130" s="9"/>
      <c r="G130" s="13"/>
      <c r="H130" s="14"/>
      <c r="I130" s="14"/>
      <c r="J130" s="14"/>
      <c r="K130" s="43"/>
    </row>
    <row r="131" spans="1:11">
      <c r="A131" s="41"/>
      <c r="B131" s="8" t="s">
        <v>1313</v>
      </c>
      <c r="C131" s="9"/>
      <c r="D131" s="10">
        <v>3</v>
      </c>
      <c r="E131" s="11" t="s">
        <v>8</v>
      </c>
      <c r="F131" s="12">
        <v>2</v>
      </c>
      <c r="G131" s="13"/>
      <c r="H131" s="14"/>
      <c r="I131" s="14"/>
      <c r="J131" s="14">
        <f t="shared" si="18"/>
        <v>6</v>
      </c>
      <c r="K131" s="43"/>
    </row>
    <row r="132" spans="1:11">
      <c r="A132" s="41"/>
      <c r="B132" s="268" t="s">
        <v>1314</v>
      </c>
      <c r="C132" s="9"/>
      <c r="D132" s="10">
        <v>3</v>
      </c>
      <c r="E132" s="11" t="s">
        <v>8</v>
      </c>
      <c r="F132" s="12">
        <v>2</v>
      </c>
      <c r="G132" s="13"/>
      <c r="H132" s="14"/>
      <c r="I132" s="14"/>
      <c r="J132" s="14">
        <f t="shared" si="18"/>
        <v>6</v>
      </c>
      <c r="K132" s="43"/>
    </row>
    <row r="133" spans="1:11">
      <c r="A133" s="41"/>
      <c r="B133" s="8" t="s">
        <v>1315</v>
      </c>
      <c r="C133" s="9"/>
      <c r="D133" s="10">
        <v>3</v>
      </c>
      <c r="E133" s="11" t="s">
        <v>8</v>
      </c>
      <c r="F133" s="12">
        <v>2</v>
      </c>
      <c r="G133" s="13"/>
      <c r="H133" s="14"/>
      <c r="I133" s="14"/>
      <c r="J133" s="14">
        <f t="shared" si="18"/>
        <v>6</v>
      </c>
      <c r="K133" s="43"/>
    </row>
    <row r="134" spans="1:11">
      <c r="A134" s="41"/>
      <c r="B134" s="8" t="s">
        <v>1316</v>
      </c>
      <c r="C134" s="9"/>
      <c r="D134" s="10">
        <v>3</v>
      </c>
      <c r="E134" s="11" t="s">
        <v>8</v>
      </c>
      <c r="F134" s="12">
        <v>2</v>
      </c>
      <c r="G134" s="13"/>
      <c r="H134" s="14"/>
      <c r="I134" s="14"/>
      <c r="J134" s="14">
        <f t="shared" si="18"/>
        <v>6</v>
      </c>
      <c r="K134" s="43"/>
    </row>
    <row r="135" spans="1:11">
      <c r="A135" s="41"/>
      <c r="B135" s="8" t="s">
        <v>1317</v>
      </c>
      <c r="C135" s="9"/>
      <c r="D135" s="10">
        <v>3</v>
      </c>
      <c r="E135" s="11" t="s">
        <v>8</v>
      </c>
      <c r="F135" s="12">
        <v>2</v>
      </c>
      <c r="G135" s="13"/>
      <c r="H135" s="14"/>
      <c r="I135" s="14"/>
      <c r="J135" s="14">
        <f t="shared" si="18"/>
        <v>6</v>
      </c>
      <c r="K135" s="43"/>
    </row>
    <row r="136" spans="1:11">
      <c r="A136" s="41"/>
      <c r="B136" s="8" t="s">
        <v>1318</v>
      </c>
      <c r="C136" s="9"/>
      <c r="D136" s="10">
        <v>3</v>
      </c>
      <c r="E136" s="11" t="s">
        <v>8</v>
      </c>
      <c r="F136" s="12">
        <v>4</v>
      </c>
      <c r="G136" s="13"/>
      <c r="H136" s="14"/>
      <c r="I136" s="14"/>
      <c r="J136" s="14">
        <f t="shared" si="18"/>
        <v>12</v>
      </c>
      <c r="K136" s="43"/>
    </row>
    <row r="137" spans="1:11">
      <c r="A137" s="41"/>
      <c r="B137" s="8" t="s">
        <v>1319</v>
      </c>
      <c r="C137" s="9"/>
      <c r="D137" s="10">
        <v>3</v>
      </c>
      <c r="E137" s="11" t="s">
        <v>8</v>
      </c>
      <c r="F137" s="12">
        <v>4</v>
      </c>
      <c r="G137" s="13"/>
      <c r="H137" s="14"/>
      <c r="I137" s="14"/>
      <c r="J137" s="14">
        <f t="shared" si="18"/>
        <v>12</v>
      </c>
      <c r="K137" s="43"/>
    </row>
    <row r="138" spans="1:11">
      <c r="A138" s="41"/>
      <c r="B138" s="8" t="s">
        <v>1320</v>
      </c>
      <c r="C138" s="9"/>
      <c r="D138" s="10">
        <v>3</v>
      </c>
      <c r="E138" s="11" t="s">
        <v>8</v>
      </c>
      <c r="F138" s="12">
        <v>4</v>
      </c>
      <c r="G138" s="13"/>
      <c r="H138" s="14"/>
      <c r="I138" s="14"/>
      <c r="J138" s="14">
        <f t="shared" si="18"/>
        <v>12</v>
      </c>
      <c r="K138" s="43"/>
    </row>
    <row r="139" spans="1:11">
      <c r="A139" s="41"/>
      <c r="B139" s="268" t="s">
        <v>1321</v>
      </c>
      <c r="C139" s="9"/>
      <c r="D139" s="10">
        <v>3</v>
      </c>
      <c r="E139" s="11" t="s">
        <v>8</v>
      </c>
      <c r="F139" s="12">
        <v>4</v>
      </c>
      <c r="G139" s="13"/>
      <c r="H139" s="14"/>
      <c r="I139" s="14"/>
      <c r="J139" s="14">
        <f t="shared" si="18"/>
        <v>12</v>
      </c>
      <c r="K139" s="43"/>
    </row>
    <row r="140" spans="1:11">
      <c r="A140" s="41"/>
      <c r="B140" s="268" t="s">
        <v>1322</v>
      </c>
      <c r="C140" s="9"/>
      <c r="D140" s="10">
        <v>3</v>
      </c>
      <c r="E140" s="11" t="s">
        <v>8</v>
      </c>
      <c r="F140" s="12">
        <v>4</v>
      </c>
      <c r="G140" s="13"/>
      <c r="H140" s="14"/>
      <c r="I140" s="14"/>
      <c r="J140" s="14">
        <f t="shared" si="18"/>
        <v>12</v>
      </c>
      <c r="K140" s="43"/>
    </row>
    <row r="141" spans="1:11">
      <c r="A141" s="41"/>
      <c r="B141" s="268" t="s">
        <v>1323</v>
      </c>
      <c r="C141" s="9"/>
      <c r="D141" s="10">
        <v>3</v>
      </c>
      <c r="E141" s="11" t="s">
        <v>8</v>
      </c>
      <c r="F141" s="12">
        <v>4</v>
      </c>
      <c r="G141" s="13"/>
      <c r="H141" s="14"/>
      <c r="I141" s="14"/>
      <c r="J141" s="14">
        <f t="shared" si="18"/>
        <v>12</v>
      </c>
      <c r="K141" s="43"/>
    </row>
    <row r="142" spans="1:11">
      <c r="A142" s="41"/>
      <c r="B142" s="268" t="s">
        <v>1324</v>
      </c>
      <c r="C142" s="9"/>
      <c r="D142" s="10">
        <v>3</v>
      </c>
      <c r="E142" s="11" t="s">
        <v>8</v>
      </c>
      <c r="F142" s="12">
        <v>4</v>
      </c>
      <c r="G142" s="13"/>
      <c r="H142" s="14"/>
      <c r="I142" s="14"/>
      <c r="J142" s="14">
        <f t="shared" si="18"/>
        <v>12</v>
      </c>
      <c r="K142" s="43"/>
    </row>
    <row r="143" spans="1:11">
      <c r="A143" s="41"/>
      <c r="B143" s="268" t="s">
        <v>1325</v>
      </c>
      <c r="C143" s="9"/>
      <c r="D143" s="10">
        <v>3</v>
      </c>
      <c r="E143" s="11" t="s">
        <v>8</v>
      </c>
      <c r="F143" s="12">
        <v>4</v>
      </c>
      <c r="G143" s="13"/>
      <c r="H143" s="14"/>
      <c r="I143" s="14"/>
      <c r="J143" s="14">
        <f t="shared" si="18"/>
        <v>12</v>
      </c>
      <c r="K143" s="43"/>
    </row>
    <row r="144" spans="1:11">
      <c r="A144" s="41"/>
      <c r="B144" s="55" t="s">
        <v>28</v>
      </c>
      <c r="C144" s="9"/>
      <c r="G144" s="13"/>
      <c r="H144" s="14"/>
      <c r="I144" s="14"/>
      <c r="J144" s="51">
        <f>SUM(J123:J143)</f>
        <v>134</v>
      </c>
      <c r="K144" s="42" t="s">
        <v>51</v>
      </c>
    </row>
    <row r="145" spans="3:10">
      <c r="C145" s="106"/>
      <c r="D145" s="105"/>
      <c r="E145" s="105"/>
      <c r="F145" s="105"/>
      <c r="G145" s="117"/>
      <c r="H145" s="117"/>
      <c r="I145" s="117"/>
      <c r="J145" s="117"/>
    </row>
    <row r="146" spans="3:10">
      <c r="C146" s="106"/>
      <c r="D146" s="105"/>
      <c r="E146" s="105"/>
      <c r="F146" s="105"/>
      <c r="G146" s="117"/>
      <c r="H146" s="117"/>
      <c r="I146" s="117"/>
      <c r="J146" s="117"/>
    </row>
    <row r="147" spans="3:10">
      <c r="C147" s="106"/>
      <c r="D147" s="105"/>
      <c r="E147" s="105"/>
      <c r="F147" s="105"/>
      <c r="G147" s="117"/>
      <c r="H147" s="117"/>
      <c r="I147" s="117"/>
      <c r="J147" s="117"/>
    </row>
    <row r="148" spans="3:10">
      <c r="C148" s="106"/>
      <c r="D148" s="105"/>
      <c r="E148" s="105"/>
      <c r="F148" s="105"/>
      <c r="G148" s="117"/>
      <c r="H148" s="117"/>
      <c r="I148" s="117"/>
      <c r="J148" s="117"/>
    </row>
    <row r="149" spans="3:10">
      <c r="C149" s="106"/>
      <c r="D149" s="105"/>
      <c r="E149" s="105"/>
      <c r="F149" s="105"/>
      <c r="G149" s="117"/>
      <c r="H149" s="117"/>
      <c r="I149" s="117"/>
      <c r="J149" s="117"/>
    </row>
    <row r="150" spans="3:10">
      <c r="C150" s="106"/>
      <c r="D150" s="105"/>
      <c r="E150" s="105"/>
      <c r="F150" s="105"/>
      <c r="G150" s="117"/>
      <c r="H150" s="117"/>
      <c r="I150" s="117"/>
      <c r="J150" s="117"/>
    </row>
    <row r="151" spans="3:10">
      <c r="C151" s="106"/>
      <c r="D151" s="105"/>
      <c r="E151" s="105"/>
      <c r="F151" s="105"/>
      <c r="G151" s="117"/>
      <c r="H151" s="117"/>
      <c r="I151" s="117"/>
      <c r="J151" s="117"/>
    </row>
    <row r="152" spans="3:10">
      <c r="C152" s="106"/>
      <c r="D152" s="105"/>
      <c r="E152" s="105"/>
      <c r="F152" s="105"/>
      <c r="G152" s="117"/>
      <c r="H152" s="117"/>
      <c r="I152" s="117"/>
      <c r="J152" s="117"/>
    </row>
    <row r="153" spans="3:10">
      <c r="C153" s="106"/>
      <c r="D153" s="105"/>
      <c r="E153" s="105"/>
      <c r="F153" s="105"/>
      <c r="G153" s="117"/>
      <c r="H153" s="117"/>
      <c r="I153" s="117"/>
      <c r="J153" s="117"/>
    </row>
    <row r="154" spans="3:10">
      <c r="C154" s="106"/>
      <c r="D154" s="105"/>
      <c r="E154" s="105"/>
      <c r="F154" s="105"/>
      <c r="G154" s="117"/>
      <c r="H154" s="117"/>
      <c r="I154" s="117"/>
      <c r="J154" s="117"/>
    </row>
    <row r="155" spans="3:10">
      <c r="C155" s="106"/>
      <c r="D155" s="105"/>
      <c r="E155" s="105"/>
      <c r="F155" s="105"/>
      <c r="G155" s="117"/>
      <c r="H155" s="117"/>
      <c r="I155" s="117"/>
      <c r="J155" s="117"/>
    </row>
    <row r="156" spans="3:10">
      <c r="C156" s="106"/>
      <c r="D156" s="105"/>
      <c r="E156" s="105"/>
      <c r="F156" s="105"/>
      <c r="G156" s="117"/>
      <c r="H156" s="117"/>
      <c r="I156" s="117"/>
      <c r="J156" s="117"/>
    </row>
    <row r="157" spans="3:10">
      <c r="C157" s="106"/>
      <c r="D157" s="105"/>
      <c r="E157" s="105"/>
      <c r="F157" s="105"/>
      <c r="G157" s="117"/>
      <c r="H157" s="117"/>
      <c r="I157" s="117"/>
      <c r="J157" s="117"/>
    </row>
    <row r="158" spans="3:10">
      <c r="C158" s="106"/>
      <c r="D158" s="105"/>
      <c r="E158" s="105"/>
      <c r="F158" s="105"/>
      <c r="G158" s="117"/>
      <c r="H158" s="117"/>
      <c r="I158" s="117"/>
      <c r="J158" s="117"/>
    </row>
    <row r="159" spans="3:10">
      <c r="C159" s="106"/>
      <c r="D159" s="105"/>
      <c r="E159" s="105"/>
      <c r="F159" s="105"/>
      <c r="G159" s="117"/>
      <c r="H159" s="117"/>
      <c r="I159" s="117"/>
      <c r="J159" s="117"/>
    </row>
    <row r="160" spans="3:10">
      <c r="C160" s="106"/>
      <c r="D160" s="105"/>
      <c r="E160" s="105"/>
      <c r="F160" s="105"/>
      <c r="G160" s="117"/>
      <c r="H160" s="117"/>
      <c r="I160" s="117"/>
      <c r="J160" s="117"/>
    </row>
    <row r="161" spans="3:10">
      <c r="C161" s="106"/>
      <c r="D161" s="105"/>
      <c r="E161" s="105"/>
      <c r="F161" s="105"/>
      <c r="G161" s="117"/>
      <c r="H161" s="117"/>
      <c r="I161" s="117"/>
      <c r="J161" s="117"/>
    </row>
    <row r="162" spans="3:10">
      <c r="C162" s="106"/>
      <c r="D162" s="105"/>
      <c r="E162" s="105"/>
      <c r="F162" s="105"/>
      <c r="G162" s="117"/>
      <c r="H162" s="117"/>
      <c r="I162" s="117"/>
      <c r="J162" s="117"/>
    </row>
    <row r="163" spans="3:10">
      <c r="C163" s="106"/>
      <c r="D163" s="105"/>
      <c r="E163" s="105"/>
      <c r="F163" s="105"/>
      <c r="G163" s="117"/>
      <c r="H163" s="117"/>
      <c r="I163" s="117"/>
      <c r="J163" s="117"/>
    </row>
    <row r="164" spans="3:10">
      <c r="C164" s="106"/>
      <c r="D164" s="105"/>
      <c r="E164" s="105"/>
      <c r="F164" s="105"/>
      <c r="G164" s="117"/>
      <c r="H164" s="117"/>
      <c r="I164" s="117"/>
      <c r="J164" s="117"/>
    </row>
    <row r="165" spans="3:10">
      <c r="C165" s="106"/>
      <c r="D165" s="105"/>
      <c r="E165" s="105"/>
      <c r="F165" s="105"/>
      <c r="G165" s="117"/>
      <c r="H165" s="117"/>
      <c r="I165" s="117"/>
      <c r="J165" s="117"/>
    </row>
    <row r="166" spans="3:10">
      <c r="C166" s="106"/>
      <c r="D166" s="105"/>
      <c r="E166" s="105"/>
      <c r="F166" s="105"/>
      <c r="G166" s="117"/>
      <c r="H166" s="117"/>
      <c r="I166" s="117"/>
      <c r="J166" s="117"/>
    </row>
    <row r="167" spans="3:10">
      <c r="C167" s="106"/>
      <c r="D167" s="105"/>
      <c r="E167" s="105"/>
      <c r="F167" s="105"/>
      <c r="G167" s="117"/>
      <c r="H167" s="117"/>
      <c r="I167" s="117"/>
      <c r="J167" s="117"/>
    </row>
    <row r="168" spans="3:10">
      <c r="C168" s="106"/>
      <c r="D168" s="105"/>
      <c r="E168" s="105"/>
      <c r="F168" s="105"/>
      <c r="G168" s="117"/>
      <c r="H168" s="117"/>
      <c r="I168" s="117"/>
      <c r="J168" s="117"/>
    </row>
    <row r="169" spans="3:10">
      <c r="C169" s="106"/>
      <c r="D169" s="105"/>
      <c r="E169" s="105"/>
      <c r="F169" s="105"/>
      <c r="G169" s="117"/>
      <c r="H169" s="117"/>
      <c r="I169" s="117"/>
      <c r="J169" s="117"/>
    </row>
    <row r="170" spans="3:10">
      <c r="C170" s="106"/>
      <c r="D170" s="105"/>
      <c r="E170" s="105"/>
      <c r="F170" s="105"/>
      <c r="G170" s="117"/>
      <c r="H170" s="117"/>
      <c r="I170" s="117"/>
      <c r="J170" s="117"/>
    </row>
    <row r="171" spans="3:10">
      <c r="C171" s="106"/>
      <c r="D171" s="105"/>
      <c r="E171" s="105"/>
      <c r="F171" s="105"/>
      <c r="G171" s="117"/>
      <c r="H171" s="117"/>
      <c r="I171" s="117"/>
      <c r="J171" s="117"/>
    </row>
    <row r="172" spans="3:10">
      <c r="C172" s="106"/>
      <c r="D172" s="105"/>
      <c r="E172" s="105"/>
      <c r="F172" s="105"/>
      <c r="G172" s="117"/>
      <c r="H172" s="117"/>
      <c r="I172" s="117"/>
      <c r="J172" s="117"/>
    </row>
    <row r="173" spans="3:10">
      <c r="C173" s="106"/>
      <c r="D173" s="105"/>
      <c r="E173" s="105"/>
      <c r="F173" s="105"/>
      <c r="G173" s="117"/>
      <c r="H173" s="117"/>
      <c r="I173" s="117"/>
      <c r="J173" s="117"/>
    </row>
    <row r="174" spans="3:10">
      <c r="C174" s="106"/>
      <c r="D174" s="105"/>
      <c r="E174" s="105"/>
      <c r="F174" s="105"/>
      <c r="G174" s="117"/>
      <c r="H174" s="117"/>
      <c r="I174" s="117"/>
      <c r="J174" s="117"/>
    </row>
    <row r="175" spans="3:10">
      <c r="C175" s="106"/>
      <c r="D175" s="105"/>
      <c r="E175" s="105"/>
      <c r="F175" s="105"/>
      <c r="G175" s="117"/>
      <c r="H175" s="117"/>
      <c r="I175" s="117"/>
      <c r="J175" s="117"/>
    </row>
    <row r="176" spans="3:10">
      <c r="C176" s="106"/>
      <c r="D176" s="105"/>
      <c r="E176" s="105"/>
      <c r="F176" s="105"/>
      <c r="G176" s="117"/>
      <c r="H176" s="117"/>
      <c r="I176" s="117"/>
      <c r="J176" s="117"/>
    </row>
    <row r="177" spans="3:10">
      <c r="C177" s="106"/>
      <c r="D177" s="105"/>
      <c r="E177" s="105"/>
      <c r="F177" s="105"/>
      <c r="G177" s="117"/>
      <c r="H177" s="117"/>
      <c r="I177" s="117"/>
      <c r="J177" s="117"/>
    </row>
    <row r="178" spans="3:10">
      <c r="C178" s="106"/>
      <c r="D178" s="105"/>
      <c r="E178" s="105"/>
      <c r="F178" s="105"/>
      <c r="G178" s="117"/>
      <c r="H178" s="117"/>
      <c r="I178" s="117"/>
      <c r="J178" s="117"/>
    </row>
    <row r="179" spans="3:10">
      <c r="C179" s="106"/>
      <c r="D179" s="105"/>
      <c r="E179" s="105"/>
      <c r="F179" s="105"/>
      <c r="G179" s="117"/>
      <c r="H179" s="117"/>
      <c r="I179" s="117"/>
      <c r="J179" s="117"/>
    </row>
    <row r="180" spans="3:10">
      <c r="C180" s="106"/>
      <c r="D180" s="105"/>
      <c r="E180" s="105"/>
      <c r="F180" s="105"/>
      <c r="G180" s="117"/>
      <c r="H180" s="117"/>
      <c r="I180" s="117"/>
      <c r="J180" s="117"/>
    </row>
    <row r="181" spans="3:10">
      <c r="C181" s="106"/>
      <c r="D181" s="105"/>
      <c r="E181" s="105"/>
      <c r="F181" s="105"/>
      <c r="G181" s="117"/>
      <c r="H181" s="117"/>
      <c r="I181" s="117"/>
      <c r="J181" s="117"/>
    </row>
    <row r="182" spans="3:10">
      <c r="C182" s="106"/>
      <c r="D182" s="105"/>
      <c r="E182" s="105"/>
      <c r="F182" s="105"/>
      <c r="G182" s="117"/>
      <c r="H182" s="117"/>
      <c r="I182" s="117"/>
      <c r="J182" s="117"/>
    </row>
    <row r="183" spans="3:10">
      <c r="C183" s="106"/>
      <c r="D183" s="105"/>
      <c r="E183" s="105"/>
      <c r="F183" s="105"/>
      <c r="G183" s="117"/>
      <c r="H183" s="117"/>
      <c r="I183" s="117"/>
      <c r="J183" s="117"/>
    </row>
    <row r="184" spans="3:10">
      <c r="C184" s="106"/>
      <c r="D184" s="105"/>
      <c r="E184" s="105"/>
      <c r="F184" s="105"/>
      <c r="G184" s="117"/>
      <c r="H184" s="117"/>
      <c r="I184" s="117"/>
      <c r="J184" s="117"/>
    </row>
    <row r="185" spans="3:10">
      <c r="C185" s="106"/>
      <c r="D185" s="105"/>
      <c r="E185" s="105"/>
      <c r="F185" s="105"/>
      <c r="G185" s="117"/>
      <c r="H185" s="117"/>
      <c r="I185" s="117"/>
      <c r="J185" s="117"/>
    </row>
    <row r="186" spans="3:10">
      <c r="C186" s="106"/>
      <c r="D186" s="105"/>
      <c r="E186" s="105"/>
      <c r="F186" s="105"/>
      <c r="G186" s="117"/>
      <c r="H186" s="117"/>
      <c r="I186" s="117"/>
      <c r="J186" s="117"/>
    </row>
    <row r="187" spans="3:10">
      <c r="C187" s="106"/>
      <c r="D187" s="105"/>
      <c r="E187" s="105"/>
      <c r="F187" s="105"/>
      <c r="G187" s="117"/>
      <c r="H187" s="117"/>
      <c r="I187" s="117"/>
      <c r="J187" s="117"/>
    </row>
    <row r="188" spans="3:10">
      <c r="C188" s="106"/>
      <c r="D188" s="105"/>
      <c r="E188" s="105"/>
      <c r="F188" s="105"/>
      <c r="G188" s="117"/>
      <c r="H188" s="117"/>
      <c r="I188" s="117"/>
      <c r="J188" s="117"/>
    </row>
    <row r="189" spans="3:10">
      <c r="C189" s="106"/>
      <c r="D189" s="105"/>
      <c r="E189" s="105"/>
      <c r="F189" s="105"/>
      <c r="G189" s="117"/>
      <c r="H189" s="117"/>
      <c r="I189" s="117"/>
      <c r="J189" s="117"/>
    </row>
    <row r="190" spans="3:10">
      <c r="C190" s="106"/>
      <c r="D190" s="105"/>
      <c r="E190" s="105"/>
      <c r="F190" s="105"/>
      <c r="G190" s="117"/>
      <c r="H190" s="117"/>
      <c r="I190" s="117"/>
      <c r="J190" s="117"/>
    </row>
    <row r="191" spans="3:10">
      <c r="C191" s="106"/>
      <c r="D191" s="105"/>
      <c r="E191" s="105"/>
      <c r="F191" s="105"/>
      <c r="G191" s="117"/>
      <c r="H191" s="117"/>
      <c r="I191" s="117"/>
      <c r="J191" s="117"/>
    </row>
    <row r="192" spans="3:10">
      <c r="C192" s="106"/>
      <c r="D192" s="105"/>
      <c r="E192" s="105"/>
      <c r="F192" s="105"/>
      <c r="G192" s="117"/>
      <c r="H192" s="117"/>
      <c r="I192" s="117"/>
      <c r="J192" s="117"/>
    </row>
    <row r="193" spans="3:10">
      <c r="C193" s="106"/>
      <c r="D193" s="105"/>
      <c r="E193" s="105"/>
      <c r="F193" s="105"/>
      <c r="G193" s="117"/>
      <c r="H193" s="117"/>
      <c r="I193" s="117"/>
      <c r="J193" s="117"/>
    </row>
    <row r="194" spans="3:10">
      <c r="C194" s="106"/>
      <c r="D194" s="105"/>
      <c r="E194" s="105"/>
      <c r="F194" s="105"/>
      <c r="G194" s="117"/>
      <c r="H194" s="117"/>
      <c r="I194" s="117"/>
      <c r="J194" s="117"/>
    </row>
    <row r="195" spans="3:10">
      <c r="C195" s="106"/>
      <c r="D195" s="105"/>
      <c r="E195" s="105"/>
      <c r="F195" s="105"/>
      <c r="G195" s="117"/>
      <c r="H195" s="117"/>
      <c r="I195" s="117"/>
      <c r="J195" s="117"/>
    </row>
    <row r="196" spans="3:10">
      <c r="C196" s="106"/>
      <c r="D196" s="105"/>
      <c r="E196" s="105"/>
      <c r="F196" s="105"/>
      <c r="G196" s="117"/>
      <c r="H196" s="117"/>
      <c r="I196" s="117"/>
      <c r="J196" s="117"/>
    </row>
    <row r="197" spans="3:10">
      <c r="C197" s="106"/>
      <c r="D197" s="105"/>
      <c r="E197" s="105"/>
      <c r="F197" s="105"/>
      <c r="G197" s="117"/>
      <c r="H197" s="117"/>
      <c r="I197" s="117"/>
      <c r="J197" s="117"/>
    </row>
    <row r="198" spans="3:10">
      <c r="C198" s="106"/>
      <c r="D198" s="105"/>
      <c r="E198" s="105"/>
      <c r="F198" s="105"/>
      <c r="G198" s="117"/>
      <c r="H198" s="117"/>
      <c r="I198" s="117"/>
      <c r="J198" s="117"/>
    </row>
    <row r="199" spans="3:10">
      <c r="C199" s="106"/>
      <c r="D199" s="105"/>
      <c r="E199" s="105"/>
      <c r="F199" s="105"/>
      <c r="G199" s="117"/>
      <c r="H199" s="117"/>
      <c r="I199" s="117"/>
      <c r="J199" s="117"/>
    </row>
    <row r="200" spans="3:10">
      <c r="C200" s="106"/>
      <c r="D200" s="105"/>
      <c r="E200" s="105"/>
      <c r="F200" s="105"/>
      <c r="G200" s="117"/>
      <c r="H200" s="117"/>
      <c r="I200" s="117"/>
      <c r="J200" s="117"/>
    </row>
    <row r="201" spans="3:10">
      <c r="C201" s="106"/>
      <c r="D201" s="105"/>
      <c r="E201" s="105"/>
      <c r="F201" s="105"/>
      <c r="G201" s="117"/>
      <c r="H201" s="117"/>
      <c r="I201" s="117"/>
      <c r="J201" s="117"/>
    </row>
    <row r="202" spans="3:10">
      <c r="C202" s="106"/>
      <c r="D202" s="105"/>
      <c r="E202" s="105"/>
      <c r="F202" s="105"/>
      <c r="G202" s="117"/>
      <c r="H202" s="117"/>
      <c r="I202" s="117"/>
      <c r="J202" s="117"/>
    </row>
    <row r="203" spans="3:10">
      <c r="C203" s="106"/>
      <c r="D203" s="105"/>
      <c r="E203" s="105"/>
      <c r="F203" s="105"/>
      <c r="G203" s="117"/>
      <c r="H203" s="117"/>
      <c r="I203" s="117"/>
      <c r="J203" s="117"/>
    </row>
    <row r="204" spans="3:10">
      <c r="C204" s="106"/>
      <c r="D204" s="105"/>
      <c r="E204" s="105"/>
      <c r="F204" s="105"/>
      <c r="G204" s="117"/>
      <c r="H204" s="117"/>
      <c r="I204" s="117"/>
      <c r="J204" s="117"/>
    </row>
    <row r="205" spans="3:10">
      <c r="C205" s="106"/>
      <c r="D205" s="105"/>
      <c r="E205" s="105"/>
      <c r="F205" s="105"/>
      <c r="G205" s="117"/>
      <c r="H205" s="117"/>
      <c r="I205" s="117"/>
      <c r="J205" s="117"/>
    </row>
    <row r="206" spans="3:10">
      <c r="C206" s="106"/>
      <c r="D206" s="105"/>
      <c r="E206" s="105"/>
      <c r="F206" s="105"/>
      <c r="G206" s="117"/>
      <c r="H206" s="117"/>
      <c r="I206" s="117"/>
      <c r="J206" s="117"/>
    </row>
    <row r="207" spans="3:10">
      <c r="C207" s="106"/>
      <c r="D207" s="105"/>
      <c r="E207" s="105"/>
      <c r="F207" s="105"/>
      <c r="G207" s="117"/>
      <c r="H207" s="117"/>
      <c r="I207" s="117"/>
      <c r="J207" s="117"/>
    </row>
    <row r="208" spans="3:10">
      <c r="C208" s="106"/>
      <c r="D208" s="105"/>
      <c r="E208" s="105"/>
      <c r="F208" s="105"/>
      <c r="G208" s="117"/>
      <c r="H208" s="117"/>
      <c r="I208" s="117"/>
      <c r="J208" s="117"/>
    </row>
    <row r="209" spans="3:10">
      <c r="C209" s="106"/>
      <c r="D209" s="105"/>
      <c r="E209" s="105"/>
      <c r="F209" s="105"/>
      <c r="G209" s="117"/>
      <c r="H209" s="117"/>
      <c r="I209" s="117"/>
      <c r="J209" s="117"/>
    </row>
    <row r="210" spans="3:10">
      <c r="C210" s="106"/>
      <c r="D210" s="105"/>
      <c r="E210" s="105"/>
      <c r="F210" s="105"/>
      <c r="G210" s="117"/>
      <c r="H210" s="117"/>
      <c r="I210" s="117"/>
      <c r="J210" s="117"/>
    </row>
    <row r="211" spans="3:10">
      <c r="C211" s="106"/>
      <c r="D211" s="105"/>
      <c r="E211" s="105"/>
      <c r="F211" s="105"/>
      <c r="G211" s="117"/>
      <c r="H211" s="117"/>
      <c r="I211" s="117"/>
      <c r="J211" s="117"/>
    </row>
    <row r="212" spans="3:10">
      <c r="C212" s="106"/>
      <c r="D212" s="105"/>
      <c r="E212" s="105"/>
      <c r="F212" s="105"/>
      <c r="G212" s="117"/>
      <c r="H212" s="117"/>
      <c r="I212" s="117"/>
      <c r="J212" s="117"/>
    </row>
    <row r="213" spans="3:10">
      <c r="C213" s="106"/>
      <c r="D213" s="105"/>
      <c r="E213" s="105"/>
      <c r="F213" s="105"/>
      <c r="G213" s="117"/>
      <c r="H213" s="117"/>
      <c r="I213" s="117"/>
      <c r="J213" s="117"/>
    </row>
    <row r="214" spans="3:10">
      <c r="C214" s="106"/>
      <c r="D214" s="105"/>
      <c r="E214" s="105"/>
      <c r="F214" s="105"/>
      <c r="G214" s="117"/>
      <c r="H214" s="117"/>
      <c r="I214" s="117"/>
      <c r="J214" s="117"/>
    </row>
    <row r="215" spans="3:10">
      <c r="C215" s="106"/>
      <c r="D215" s="105"/>
      <c r="E215" s="105"/>
      <c r="F215" s="105"/>
      <c r="G215" s="117"/>
      <c r="H215" s="117"/>
      <c r="I215" s="117"/>
      <c r="J215" s="117"/>
    </row>
    <row r="216" spans="3:10">
      <c r="C216" s="106"/>
      <c r="D216" s="105"/>
      <c r="E216" s="105"/>
      <c r="F216" s="105"/>
      <c r="G216" s="117"/>
      <c r="H216" s="117"/>
      <c r="I216" s="117"/>
      <c r="J216" s="117"/>
    </row>
    <row r="217" spans="3:10">
      <c r="C217" s="106"/>
      <c r="D217" s="105"/>
      <c r="E217" s="105"/>
      <c r="F217" s="105"/>
      <c r="G217" s="117"/>
      <c r="H217" s="117"/>
      <c r="I217" s="117"/>
      <c r="J217" s="117"/>
    </row>
    <row r="218" spans="3:10">
      <c r="C218" s="106"/>
      <c r="D218" s="105"/>
      <c r="E218" s="105"/>
      <c r="F218" s="105"/>
      <c r="G218" s="117"/>
      <c r="H218" s="117"/>
      <c r="I218" s="117"/>
      <c r="J218" s="117"/>
    </row>
    <row r="219" spans="3:10">
      <c r="C219" s="106"/>
      <c r="D219" s="105"/>
      <c r="E219" s="105"/>
      <c r="F219" s="105"/>
      <c r="G219" s="117"/>
      <c r="H219" s="117"/>
      <c r="I219" s="117"/>
      <c r="J219" s="117"/>
    </row>
    <row r="220" spans="3:10">
      <c r="C220" s="106"/>
      <c r="D220" s="105"/>
      <c r="E220" s="105"/>
      <c r="F220" s="105"/>
      <c r="G220" s="117"/>
      <c r="H220" s="117"/>
      <c r="I220" s="117"/>
      <c r="J220" s="117"/>
    </row>
    <row r="221" spans="3:10">
      <c r="C221" s="106"/>
      <c r="D221" s="105"/>
      <c r="E221" s="105"/>
      <c r="F221" s="105"/>
      <c r="G221" s="117"/>
      <c r="H221" s="117"/>
      <c r="I221" s="117"/>
      <c r="J221" s="117"/>
    </row>
    <row r="222" spans="3:10">
      <c r="C222" s="106"/>
      <c r="D222" s="105"/>
      <c r="E222" s="105"/>
      <c r="F222" s="105"/>
      <c r="G222" s="117"/>
      <c r="H222" s="117"/>
      <c r="I222" s="117"/>
      <c r="J222" s="117"/>
    </row>
    <row r="223" spans="3:10">
      <c r="C223" s="106"/>
      <c r="D223" s="105"/>
      <c r="E223" s="105"/>
      <c r="F223" s="105"/>
      <c r="G223" s="117"/>
      <c r="H223" s="117"/>
      <c r="I223" s="117"/>
      <c r="J223" s="117"/>
    </row>
    <row r="224" spans="3:10">
      <c r="C224" s="106"/>
      <c r="D224" s="105"/>
      <c r="E224" s="105"/>
      <c r="F224" s="105"/>
      <c r="G224" s="117"/>
      <c r="H224" s="117"/>
      <c r="I224" s="117"/>
      <c r="J224" s="117"/>
    </row>
    <row r="225" spans="3:10">
      <c r="C225" s="106"/>
      <c r="D225" s="105"/>
      <c r="E225" s="105"/>
      <c r="F225" s="105"/>
      <c r="G225" s="117"/>
      <c r="H225" s="117"/>
      <c r="I225" s="117"/>
      <c r="J225" s="117"/>
    </row>
    <row r="226" spans="3:10">
      <c r="C226" s="106"/>
      <c r="D226" s="105"/>
      <c r="E226" s="105"/>
      <c r="F226" s="105"/>
      <c r="G226" s="117"/>
      <c r="H226" s="117"/>
      <c r="I226" s="117"/>
      <c r="J226" s="117"/>
    </row>
    <row r="227" spans="3:10">
      <c r="C227" s="106"/>
      <c r="D227" s="105"/>
      <c r="E227" s="105"/>
      <c r="F227" s="105"/>
      <c r="G227" s="117"/>
      <c r="H227" s="117"/>
      <c r="I227" s="117"/>
      <c r="J227" s="117"/>
    </row>
    <row r="228" spans="3:10">
      <c r="C228" s="106"/>
      <c r="D228" s="105"/>
      <c r="E228" s="105"/>
      <c r="F228" s="105"/>
      <c r="G228" s="117"/>
      <c r="H228" s="117"/>
      <c r="I228" s="117"/>
      <c r="J228" s="117"/>
    </row>
    <row r="229" spans="3:10">
      <c r="C229" s="106"/>
      <c r="D229" s="105"/>
      <c r="E229" s="105"/>
      <c r="F229" s="105"/>
      <c r="G229" s="117"/>
      <c r="H229" s="117"/>
      <c r="I229" s="117"/>
      <c r="J229" s="117"/>
    </row>
    <row r="230" spans="3:10">
      <c r="C230" s="106"/>
      <c r="D230" s="105"/>
      <c r="E230" s="105"/>
      <c r="F230" s="105"/>
      <c r="G230" s="117"/>
      <c r="H230" s="117"/>
      <c r="I230" s="117"/>
      <c r="J230" s="117"/>
    </row>
    <row r="231" spans="3:10">
      <c r="C231" s="106"/>
      <c r="D231" s="105"/>
      <c r="E231" s="105"/>
      <c r="F231" s="105"/>
      <c r="G231" s="117"/>
      <c r="H231" s="117"/>
      <c r="I231" s="117"/>
      <c r="J231" s="117"/>
    </row>
    <row r="232" spans="3:10">
      <c r="C232" s="106"/>
      <c r="D232" s="105"/>
      <c r="E232" s="105"/>
      <c r="F232" s="105"/>
      <c r="G232" s="117"/>
      <c r="H232" s="117"/>
      <c r="I232" s="117"/>
      <c r="J232" s="117"/>
    </row>
    <row r="233" spans="3:10">
      <c r="C233" s="106"/>
      <c r="D233" s="105"/>
      <c r="E233" s="105"/>
      <c r="F233" s="105"/>
      <c r="G233" s="117"/>
      <c r="H233" s="117"/>
      <c r="I233" s="117"/>
      <c r="J233" s="117"/>
    </row>
    <row r="234" spans="3:10">
      <c r="C234" s="106"/>
      <c r="D234" s="105"/>
      <c r="E234" s="105"/>
      <c r="F234" s="105"/>
      <c r="G234" s="117"/>
      <c r="H234" s="117"/>
      <c r="I234" s="117"/>
      <c r="J234" s="117"/>
    </row>
    <row r="235" spans="3:10">
      <c r="C235" s="106"/>
      <c r="D235" s="105"/>
      <c r="E235" s="105"/>
      <c r="F235" s="105"/>
      <c r="G235" s="117"/>
      <c r="H235" s="117"/>
      <c r="I235" s="117"/>
      <c r="J235" s="117"/>
    </row>
    <row r="236" spans="3:10">
      <c r="C236" s="106"/>
      <c r="D236" s="105"/>
      <c r="E236" s="105"/>
      <c r="F236" s="105"/>
      <c r="G236" s="117"/>
      <c r="H236" s="117"/>
      <c r="I236" s="117"/>
      <c r="J236" s="117"/>
    </row>
    <row r="237" spans="3:10">
      <c r="C237" s="106"/>
      <c r="D237" s="105"/>
      <c r="E237" s="105"/>
      <c r="F237" s="105"/>
      <c r="G237" s="117"/>
      <c r="H237" s="117"/>
      <c r="I237" s="117"/>
      <c r="J237" s="117"/>
    </row>
    <row r="238" spans="3:10">
      <c r="C238" s="106"/>
      <c r="D238" s="105"/>
      <c r="E238" s="105"/>
      <c r="F238" s="105"/>
      <c r="G238" s="117"/>
      <c r="H238" s="117"/>
      <c r="I238" s="117"/>
      <c r="J238" s="117"/>
    </row>
    <row r="239" spans="3:10">
      <c r="C239" s="106"/>
      <c r="D239" s="105"/>
      <c r="E239" s="105"/>
      <c r="F239" s="105"/>
      <c r="G239" s="117"/>
      <c r="H239" s="117"/>
      <c r="I239" s="117"/>
      <c r="J239" s="117"/>
    </row>
    <row r="240" spans="3:10">
      <c r="C240" s="106"/>
      <c r="D240" s="105"/>
      <c r="E240" s="105"/>
      <c r="F240" s="105"/>
      <c r="G240" s="117"/>
      <c r="H240" s="117"/>
      <c r="I240" s="117"/>
      <c r="J240" s="117"/>
    </row>
    <row r="241" spans="3:10">
      <c r="C241" s="106"/>
      <c r="D241" s="105"/>
      <c r="E241" s="105"/>
      <c r="F241" s="105"/>
      <c r="G241" s="117"/>
      <c r="H241" s="117"/>
      <c r="I241" s="117"/>
      <c r="J241" s="117"/>
    </row>
    <row r="242" spans="3:10">
      <c r="C242" s="106"/>
      <c r="D242" s="105"/>
      <c r="E242" s="105"/>
      <c r="F242" s="105"/>
      <c r="G242" s="117"/>
      <c r="H242" s="117"/>
      <c r="I242" s="117"/>
      <c r="J242" s="117"/>
    </row>
    <row r="243" spans="3:10">
      <c r="C243" s="106"/>
      <c r="D243" s="105"/>
      <c r="E243" s="105"/>
      <c r="F243" s="105"/>
      <c r="G243" s="117"/>
      <c r="H243" s="117"/>
      <c r="I243" s="117"/>
      <c r="J243" s="117"/>
    </row>
    <row r="244" spans="3:10">
      <c r="C244" s="106"/>
      <c r="D244" s="105"/>
      <c r="E244" s="105"/>
      <c r="F244" s="105"/>
      <c r="G244" s="117"/>
      <c r="H244" s="117"/>
      <c r="I244" s="117"/>
      <c r="J244" s="117"/>
    </row>
    <row r="245" spans="3:10">
      <c r="C245" s="106"/>
      <c r="D245" s="105"/>
      <c r="E245" s="105"/>
      <c r="F245" s="105"/>
      <c r="G245" s="117"/>
      <c r="H245" s="117"/>
      <c r="I245" s="117"/>
      <c r="J245" s="117"/>
    </row>
    <row r="246" spans="3:10">
      <c r="C246" s="106"/>
      <c r="D246" s="105"/>
      <c r="E246" s="105"/>
      <c r="F246" s="105"/>
      <c r="G246" s="117"/>
      <c r="H246" s="117"/>
      <c r="I246" s="117"/>
      <c r="J246" s="117"/>
    </row>
    <row r="247" spans="3:10">
      <c r="C247" s="106"/>
      <c r="D247" s="105"/>
      <c r="E247" s="105"/>
      <c r="F247" s="105"/>
      <c r="G247" s="117"/>
      <c r="H247" s="117"/>
      <c r="I247" s="117"/>
      <c r="J247" s="117"/>
    </row>
    <row r="248" spans="3:10">
      <c r="C248" s="106"/>
      <c r="D248" s="105"/>
      <c r="E248" s="105"/>
      <c r="F248" s="105"/>
      <c r="G248" s="117"/>
      <c r="H248" s="117"/>
      <c r="I248" s="117"/>
      <c r="J248" s="117"/>
    </row>
    <row r="249" spans="3:10">
      <c r="C249" s="106"/>
      <c r="D249" s="105"/>
      <c r="E249" s="105"/>
      <c r="F249" s="105"/>
      <c r="G249" s="117"/>
      <c r="H249" s="117"/>
      <c r="I249" s="117"/>
      <c r="J249" s="117"/>
    </row>
    <row r="250" spans="3:10">
      <c r="C250" s="106"/>
      <c r="D250" s="105"/>
      <c r="E250" s="105"/>
      <c r="F250" s="105"/>
      <c r="G250" s="117"/>
      <c r="H250" s="117"/>
      <c r="I250" s="117"/>
      <c r="J250" s="117"/>
    </row>
    <row r="251" spans="3:10">
      <c r="C251" s="106"/>
      <c r="D251" s="105"/>
      <c r="E251" s="105"/>
      <c r="F251" s="105"/>
      <c r="G251" s="117"/>
      <c r="H251" s="117"/>
      <c r="I251" s="117"/>
      <c r="J251" s="117"/>
    </row>
    <row r="252" spans="3:10">
      <c r="C252" s="106"/>
      <c r="D252" s="105"/>
      <c r="E252" s="105"/>
      <c r="F252" s="105"/>
      <c r="G252" s="117"/>
      <c r="H252" s="117"/>
      <c r="I252" s="117"/>
      <c r="J252" s="117"/>
    </row>
    <row r="253" spans="3:10">
      <c r="C253" s="106"/>
      <c r="D253" s="105"/>
      <c r="E253" s="105"/>
      <c r="F253" s="105"/>
      <c r="G253" s="117"/>
      <c r="H253" s="117"/>
      <c r="I253" s="117"/>
      <c r="J253" s="117"/>
    </row>
    <row r="254" spans="3:10">
      <c r="C254" s="106"/>
      <c r="D254" s="105"/>
      <c r="E254" s="105"/>
      <c r="F254" s="105"/>
      <c r="G254" s="117"/>
      <c r="H254" s="117"/>
      <c r="I254" s="117"/>
      <c r="J254" s="117"/>
    </row>
    <row r="255" spans="3:10">
      <c r="C255" s="106"/>
      <c r="D255" s="105"/>
      <c r="E255" s="105"/>
      <c r="F255" s="105"/>
      <c r="G255" s="117"/>
      <c r="H255" s="117"/>
      <c r="I255" s="117"/>
      <c r="J255" s="117"/>
    </row>
    <row r="256" spans="3:10">
      <c r="C256" s="106"/>
      <c r="D256" s="105"/>
      <c r="E256" s="105"/>
      <c r="F256" s="105"/>
      <c r="G256" s="117"/>
      <c r="H256" s="117"/>
      <c r="I256" s="117"/>
      <c r="J256" s="117"/>
    </row>
    <row r="257" spans="3:10">
      <c r="C257" s="106"/>
      <c r="D257" s="105"/>
      <c r="E257" s="105"/>
      <c r="F257" s="105"/>
      <c r="G257" s="117"/>
      <c r="H257" s="117"/>
      <c r="I257" s="117"/>
      <c r="J257" s="117"/>
    </row>
    <row r="258" spans="3:10">
      <c r="C258" s="106"/>
      <c r="D258" s="105"/>
      <c r="E258" s="105"/>
      <c r="F258" s="105"/>
      <c r="G258" s="117"/>
      <c r="H258" s="117"/>
      <c r="I258" s="117"/>
      <c r="J258" s="117"/>
    </row>
    <row r="259" spans="3:10">
      <c r="C259" s="106"/>
      <c r="D259" s="105"/>
      <c r="E259" s="105"/>
      <c r="F259" s="105"/>
      <c r="G259" s="117"/>
      <c r="H259" s="117"/>
      <c r="I259" s="117"/>
      <c r="J259" s="117"/>
    </row>
    <row r="260" spans="3:10">
      <c r="C260" s="106"/>
      <c r="D260" s="105"/>
      <c r="E260" s="105"/>
      <c r="F260" s="105"/>
      <c r="G260" s="117"/>
      <c r="H260" s="117"/>
      <c r="I260" s="117"/>
      <c r="J260" s="117"/>
    </row>
    <row r="261" spans="3:10">
      <c r="C261" s="106"/>
      <c r="D261" s="105"/>
      <c r="E261" s="105"/>
      <c r="F261" s="105"/>
      <c r="G261" s="117"/>
      <c r="H261" s="117"/>
      <c r="I261" s="117"/>
      <c r="J261" s="117"/>
    </row>
    <row r="262" spans="3:10">
      <c r="C262" s="106"/>
      <c r="D262" s="105"/>
      <c r="E262" s="105"/>
      <c r="F262" s="105"/>
      <c r="G262" s="117"/>
      <c r="H262" s="117"/>
      <c r="I262" s="117"/>
      <c r="J262" s="117"/>
    </row>
    <row r="263" spans="3:10">
      <c r="C263" s="106"/>
      <c r="D263" s="105"/>
      <c r="E263" s="105"/>
      <c r="F263" s="105"/>
      <c r="G263" s="117"/>
      <c r="H263" s="117"/>
      <c r="I263" s="117"/>
      <c r="J263" s="117"/>
    </row>
    <row r="264" spans="3:10">
      <c r="C264" s="106"/>
      <c r="D264" s="105"/>
      <c r="E264" s="105"/>
      <c r="F264" s="105"/>
      <c r="G264" s="117"/>
      <c r="H264" s="117"/>
      <c r="I264" s="117"/>
      <c r="J264" s="117"/>
    </row>
    <row r="265" spans="3:10">
      <c r="C265" s="106"/>
      <c r="D265" s="105"/>
      <c r="E265" s="105"/>
      <c r="F265" s="105"/>
      <c r="G265" s="117"/>
      <c r="H265" s="117"/>
      <c r="I265" s="117"/>
      <c r="J265" s="117"/>
    </row>
    <row r="266" spans="3:10">
      <c r="C266" s="106"/>
      <c r="D266" s="105"/>
      <c r="E266" s="105"/>
      <c r="F266" s="105"/>
      <c r="G266" s="117"/>
      <c r="H266" s="117"/>
      <c r="I266" s="117"/>
      <c r="J266" s="117"/>
    </row>
    <row r="267" spans="3:10">
      <c r="C267" s="106"/>
      <c r="D267" s="105"/>
      <c r="E267" s="105"/>
      <c r="F267" s="105"/>
      <c r="G267" s="117"/>
      <c r="H267" s="117"/>
      <c r="I267" s="117"/>
      <c r="J267" s="117"/>
    </row>
    <row r="268" spans="3:10">
      <c r="C268" s="106"/>
      <c r="D268" s="105"/>
      <c r="E268" s="105"/>
      <c r="F268" s="105"/>
      <c r="G268" s="117"/>
      <c r="H268" s="117"/>
      <c r="I268" s="117"/>
      <c r="J268" s="117"/>
    </row>
    <row r="269" spans="3:10">
      <c r="C269" s="106"/>
      <c r="D269" s="105"/>
      <c r="E269" s="105"/>
      <c r="F269" s="105"/>
      <c r="G269" s="117"/>
      <c r="H269" s="117"/>
      <c r="I269" s="117"/>
      <c r="J269" s="117"/>
    </row>
    <row r="270" spans="3:10">
      <c r="C270" s="106"/>
      <c r="D270" s="105"/>
      <c r="E270" s="105"/>
      <c r="F270" s="105"/>
      <c r="G270" s="117"/>
      <c r="H270" s="117"/>
      <c r="I270" s="117"/>
      <c r="J270" s="117"/>
    </row>
    <row r="271" spans="3:10">
      <c r="C271" s="106"/>
      <c r="D271" s="105"/>
      <c r="E271" s="105"/>
      <c r="F271" s="105"/>
      <c r="G271" s="117"/>
      <c r="H271" s="117"/>
      <c r="I271" s="117"/>
      <c r="J271" s="117"/>
    </row>
    <row r="272" spans="3:10">
      <c r="C272" s="106"/>
      <c r="D272" s="105"/>
      <c r="E272" s="105"/>
      <c r="F272" s="105"/>
      <c r="G272" s="117"/>
      <c r="H272" s="117"/>
      <c r="I272" s="117"/>
      <c r="J272" s="117"/>
    </row>
    <row r="273" spans="3:10">
      <c r="C273" s="106"/>
      <c r="D273" s="105"/>
      <c r="E273" s="105"/>
      <c r="F273" s="105"/>
      <c r="G273" s="117"/>
      <c r="H273" s="117"/>
      <c r="I273" s="117"/>
      <c r="J273" s="117"/>
    </row>
    <row r="274" spans="3:10">
      <c r="C274" s="106"/>
      <c r="D274" s="105"/>
      <c r="E274" s="105"/>
      <c r="F274" s="105"/>
      <c r="G274" s="117"/>
      <c r="H274" s="117"/>
      <c r="I274" s="117"/>
      <c r="J274" s="117"/>
    </row>
    <row r="275" spans="3:10">
      <c r="C275" s="106"/>
      <c r="D275" s="105"/>
      <c r="E275" s="105"/>
      <c r="F275" s="105"/>
      <c r="G275" s="117"/>
      <c r="H275" s="117"/>
      <c r="I275" s="117"/>
      <c r="J275" s="117"/>
    </row>
    <row r="276" spans="3:10">
      <c r="C276" s="106"/>
      <c r="D276" s="105"/>
      <c r="E276" s="105"/>
      <c r="F276" s="105"/>
      <c r="G276" s="117"/>
      <c r="H276" s="117"/>
      <c r="I276" s="117"/>
      <c r="J276" s="117"/>
    </row>
    <row r="277" spans="3:10">
      <c r="C277" s="106"/>
      <c r="D277" s="105"/>
      <c r="E277" s="105"/>
      <c r="F277" s="105"/>
      <c r="G277" s="117"/>
      <c r="H277" s="117"/>
      <c r="I277" s="117"/>
      <c r="J277" s="117"/>
    </row>
    <row r="278" spans="3:10">
      <c r="C278" s="106"/>
      <c r="D278" s="105"/>
      <c r="E278" s="105"/>
      <c r="F278" s="105"/>
      <c r="G278" s="117"/>
      <c r="H278" s="117"/>
      <c r="I278" s="117"/>
      <c r="J278" s="117"/>
    </row>
    <row r="279" spans="3:10">
      <c r="C279" s="106"/>
      <c r="D279" s="105"/>
      <c r="E279" s="105"/>
      <c r="F279" s="105"/>
      <c r="G279" s="117"/>
      <c r="H279" s="117"/>
      <c r="I279" s="117"/>
      <c r="J279" s="117"/>
    </row>
    <row r="280" spans="3:10">
      <c r="C280" s="106"/>
      <c r="D280" s="105"/>
      <c r="E280" s="105"/>
      <c r="F280" s="105"/>
      <c r="G280" s="117"/>
      <c r="H280" s="117"/>
      <c r="I280" s="117"/>
      <c r="J280" s="117"/>
    </row>
    <row r="281" spans="3:10">
      <c r="C281" s="106"/>
      <c r="D281" s="105"/>
      <c r="E281" s="105"/>
      <c r="F281" s="105"/>
    </row>
    <row r="282" spans="3:10">
      <c r="C282" s="106"/>
      <c r="D282" s="105"/>
      <c r="E282" s="105"/>
      <c r="F282" s="105"/>
    </row>
    <row r="283" spans="3:10">
      <c r="C283" s="106"/>
      <c r="D283" s="105"/>
      <c r="E283" s="105"/>
      <c r="F283" s="105"/>
    </row>
    <row r="284" spans="3:10">
      <c r="C284" s="106"/>
      <c r="D284" s="105"/>
      <c r="E284" s="105"/>
      <c r="F284" s="105"/>
    </row>
    <row r="285" spans="3:10">
      <c r="C285" s="106"/>
      <c r="D285" s="105"/>
      <c r="E285" s="105"/>
      <c r="F285" s="105"/>
    </row>
    <row r="286" spans="3:10">
      <c r="C286" s="106"/>
      <c r="D286" s="105"/>
      <c r="E286" s="105"/>
      <c r="F286" s="105"/>
    </row>
    <row r="287" spans="3:10">
      <c r="C287" s="106"/>
      <c r="D287" s="105"/>
      <c r="E287" s="105"/>
      <c r="F287" s="105"/>
    </row>
    <row r="288" spans="3:10">
      <c r="C288" s="106"/>
      <c r="D288" s="105"/>
      <c r="E288" s="105"/>
      <c r="F288" s="105"/>
    </row>
    <row r="289" spans="3:6">
      <c r="C289" s="106"/>
      <c r="D289" s="105"/>
      <c r="E289" s="105"/>
      <c r="F289" s="105"/>
    </row>
    <row r="290" spans="3:6">
      <c r="C290" s="106"/>
      <c r="D290" s="105"/>
      <c r="E290" s="105"/>
      <c r="F290" s="105"/>
    </row>
    <row r="291" spans="3:6">
      <c r="C291" s="106"/>
      <c r="D291" s="105"/>
      <c r="E291" s="105"/>
      <c r="F291" s="105"/>
    </row>
    <row r="292" spans="3:6">
      <c r="C292" s="106"/>
      <c r="D292" s="105"/>
      <c r="E292" s="105"/>
      <c r="F292" s="105"/>
    </row>
    <row r="293" spans="3:6">
      <c r="C293" s="106"/>
      <c r="D293" s="105"/>
      <c r="E293" s="105"/>
      <c r="F293" s="105"/>
    </row>
    <row r="294" spans="3:6">
      <c r="C294" s="106"/>
      <c r="D294" s="105"/>
      <c r="E294" s="105"/>
      <c r="F294" s="105"/>
    </row>
    <row r="295" spans="3:6">
      <c r="C295" s="106"/>
      <c r="D295" s="105"/>
      <c r="E295" s="105"/>
      <c r="F295" s="105"/>
    </row>
    <row r="296" spans="3:6">
      <c r="C296" s="106"/>
      <c r="D296" s="105"/>
      <c r="E296" s="105"/>
      <c r="F296" s="105"/>
    </row>
    <row r="297" spans="3:6">
      <c r="C297" s="106"/>
      <c r="D297" s="105"/>
      <c r="E297" s="105"/>
      <c r="F297" s="105"/>
    </row>
    <row r="298" spans="3:6">
      <c r="C298" s="106"/>
      <c r="D298" s="105"/>
      <c r="E298" s="105"/>
      <c r="F298" s="105"/>
    </row>
    <row r="299" spans="3:6">
      <c r="C299" s="106"/>
      <c r="D299" s="105"/>
      <c r="E299" s="105"/>
      <c r="F299" s="105"/>
    </row>
    <row r="300" spans="3:6">
      <c r="C300" s="106"/>
      <c r="D300" s="105"/>
      <c r="E300" s="105"/>
      <c r="F300" s="105"/>
    </row>
    <row r="301" spans="3:6">
      <c r="C301" s="106"/>
      <c r="D301" s="105"/>
      <c r="E301" s="105"/>
      <c r="F301" s="105"/>
    </row>
    <row r="302" spans="3:6">
      <c r="C302" s="106"/>
      <c r="D302" s="105"/>
      <c r="E302" s="105"/>
      <c r="F302" s="105"/>
    </row>
    <row r="303" spans="3:6">
      <c r="C303" s="106"/>
      <c r="D303" s="105"/>
      <c r="E303" s="105"/>
      <c r="F303" s="105"/>
    </row>
    <row r="304" spans="3:6">
      <c r="C304" s="106"/>
      <c r="D304" s="105"/>
      <c r="E304" s="105"/>
      <c r="F304" s="105"/>
    </row>
    <row r="305" spans="3:6">
      <c r="C305" s="106"/>
      <c r="D305" s="105"/>
      <c r="E305" s="105"/>
      <c r="F305" s="105"/>
    </row>
    <row r="306" spans="3:6">
      <c r="C306" s="106"/>
      <c r="D306" s="105"/>
      <c r="E306" s="105"/>
      <c r="F306" s="105"/>
    </row>
    <row r="307" spans="3:6">
      <c r="C307" s="106"/>
      <c r="D307" s="105"/>
      <c r="E307" s="105"/>
      <c r="F307" s="105"/>
    </row>
    <row r="308" spans="3:6">
      <c r="C308" s="106"/>
      <c r="D308" s="105"/>
      <c r="E308" s="105"/>
      <c r="F308" s="105"/>
    </row>
    <row r="309" spans="3:6">
      <c r="C309" s="106"/>
      <c r="D309" s="105"/>
      <c r="E309" s="105"/>
      <c r="F309" s="105"/>
    </row>
    <row r="310" spans="3:6">
      <c r="C310" s="106"/>
      <c r="D310" s="105"/>
      <c r="E310" s="105"/>
      <c r="F310" s="105"/>
    </row>
    <row r="311" spans="3:6">
      <c r="C311" s="106"/>
      <c r="D311" s="105"/>
      <c r="E311" s="105"/>
      <c r="F311" s="105"/>
    </row>
    <row r="312" spans="3:6">
      <c r="C312" s="106"/>
      <c r="D312" s="105"/>
      <c r="E312" s="105"/>
      <c r="F312" s="105"/>
    </row>
    <row r="313" spans="3:6">
      <c r="C313" s="106"/>
      <c r="D313" s="105"/>
      <c r="E313" s="105"/>
      <c r="F313" s="105"/>
    </row>
    <row r="314" spans="3:6">
      <c r="C314" s="106"/>
      <c r="D314" s="105"/>
      <c r="E314" s="105"/>
      <c r="F314" s="105"/>
    </row>
    <row r="315" spans="3:6">
      <c r="C315" s="106"/>
      <c r="D315" s="105"/>
      <c r="E315" s="105"/>
      <c r="F315" s="105"/>
    </row>
    <row r="316" spans="3:6">
      <c r="D316" s="119"/>
      <c r="E316" s="120"/>
      <c r="F316" s="121"/>
    </row>
  </sheetData>
  <mergeCells count="19">
    <mergeCell ref="A1:K1"/>
    <mergeCell ref="A2:K2"/>
    <mergeCell ref="D3:F3"/>
    <mergeCell ref="B6:K6"/>
    <mergeCell ref="B13:K13"/>
    <mergeCell ref="B43:K43"/>
    <mergeCell ref="B5:K5"/>
    <mergeCell ref="B4:K4"/>
    <mergeCell ref="B12:K12"/>
    <mergeCell ref="B9:K9"/>
    <mergeCell ref="B35:K35"/>
    <mergeCell ref="B38:K38"/>
    <mergeCell ref="B40:K40"/>
    <mergeCell ref="B50:K50"/>
    <mergeCell ref="B70:K70"/>
    <mergeCell ref="B95:K95"/>
    <mergeCell ref="B121:K121"/>
    <mergeCell ref="B44:K44"/>
    <mergeCell ref="B45:K45"/>
  </mergeCells>
  <phoneticPr fontId="5" type="noConversion"/>
  <printOptions horizontalCentered="1"/>
  <pageMargins left="0.59055118110236204" right="0.39370078740157499" top="0.74803149606299202" bottom="0.74803149606299202" header="0.31496062992126" footer="0.31496062992126"/>
  <pageSetup paperSize="9" scale="59" fitToWidth="0" fitToHeight="0" orientation="portrait" r:id="rId1"/>
  <headerFooter scaleWithDoc="0">
    <oddHeader>&amp;L&amp;"Arial,Regular"Proposed Working Women's Hostels for TNWWHSB at Tiruvannamalai.&amp;R&amp;A</oddHeader>
    <oddFooter>&amp;L&amp;"Verdana,Regular"&amp;10DIUS Design Consultants Pvt Ltd&amp;C&amp;"Verdana,Regular"&amp;10&amp;P of &amp;N&amp;R&amp;"Verdana,Regular"&amp;10Knight Frank (India) Pvt Ltd</oddFooter>
  </headerFooter>
  <rowBreaks count="1" manualBreakCount="1">
    <brk id="43" max="10" man="1"/>
  </rowBreaks>
</worksheet>
</file>

<file path=xl/worksheets/sheet11.xml><?xml version="1.0" encoding="utf-8"?>
<worksheet xmlns="http://schemas.openxmlformats.org/spreadsheetml/2006/main" xmlns:r="http://schemas.openxmlformats.org/officeDocument/2006/relationships">
  <sheetPr>
    <tabColor theme="2"/>
  </sheetPr>
  <dimension ref="A1:M21"/>
  <sheetViews>
    <sheetView view="pageBreakPreview" zoomScale="85" zoomScaleSheetLayoutView="85" workbookViewId="0">
      <pane xSplit="4" ySplit="4" topLeftCell="E5" activePane="bottomRight" state="frozen"/>
      <selection activeCell="E40" sqref="E40"/>
      <selection pane="topRight" activeCell="E40" sqref="E40"/>
      <selection pane="bottomLeft" activeCell="E40" sqref="E40"/>
      <selection pane="bottomRight" activeCell="H4" sqref="H4"/>
    </sheetView>
  </sheetViews>
  <sheetFormatPr defaultColWidth="9.140625" defaultRowHeight="15"/>
  <cols>
    <col min="1" max="1" width="9" style="139" bestFit="1" customWidth="1"/>
    <col min="2" max="2" width="50.7109375" style="139" customWidth="1"/>
    <col min="3" max="3" width="7.5703125" style="139" customWidth="1"/>
    <col min="4" max="4" width="11.42578125" style="141" bestFit="1" customWidth="1"/>
    <col min="5" max="5" width="15.28515625" style="141" customWidth="1"/>
    <col min="6" max="6" width="18" style="139" customWidth="1"/>
    <col min="7" max="7" width="15.85546875" style="142" customWidth="1"/>
    <col min="8" max="8" width="19" style="139" customWidth="1"/>
    <col min="9" max="9" width="16.85546875" style="142" customWidth="1"/>
    <col min="10" max="10" width="18.42578125" style="139" customWidth="1"/>
    <col min="11" max="11" width="16.28515625" style="139" customWidth="1"/>
    <col min="12" max="12" width="9.140625" style="139"/>
    <col min="13" max="13" width="13.5703125" style="139" bestFit="1" customWidth="1"/>
    <col min="14" max="16384" width="9.140625" style="139"/>
  </cols>
  <sheetData>
    <row r="1" spans="1:13" ht="24.95" customHeight="1">
      <c r="A1" s="769" t="s">
        <v>1860</v>
      </c>
      <c r="B1" s="770"/>
      <c r="C1" s="770"/>
      <c r="D1" s="770"/>
      <c r="E1" s="770"/>
      <c r="F1" s="770"/>
      <c r="G1" s="770"/>
      <c r="H1" s="770"/>
      <c r="I1" s="770"/>
      <c r="J1" s="770"/>
      <c r="K1" s="771"/>
    </row>
    <row r="2" spans="1:13" ht="24.95" customHeight="1">
      <c r="A2" s="258" t="s">
        <v>905</v>
      </c>
      <c r="B2" s="259"/>
      <c r="C2" s="259"/>
      <c r="D2" s="259"/>
      <c r="E2" s="259"/>
      <c r="F2" s="259"/>
      <c r="G2" s="260"/>
      <c r="H2" s="259"/>
      <c r="I2" s="260"/>
      <c r="J2" s="259"/>
      <c r="K2" s="261" t="s">
        <v>906</v>
      </c>
    </row>
    <row r="3" spans="1:13" ht="46.5" customHeight="1">
      <c r="A3" s="792" t="s">
        <v>768</v>
      </c>
      <c r="B3" s="792" t="s">
        <v>1</v>
      </c>
      <c r="C3" s="792" t="s">
        <v>146</v>
      </c>
      <c r="D3" s="794" t="s">
        <v>148</v>
      </c>
      <c r="E3" s="796" t="s">
        <v>907</v>
      </c>
      <c r="F3" s="797"/>
      <c r="G3" s="796" t="s">
        <v>908</v>
      </c>
      <c r="H3" s="797"/>
      <c r="I3" s="796" t="s">
        <v>909</v>
      </c>
      <c r="J3" s="797"/>
      <c r="K3" s="262" t="s">
        <v>910</v>
      </c>
    </row>
    <row r="4" spans="1:13" ht="42.75" customHeight="1">
      <c r="A4" s="793"/>
      <c r="B4" s="793"/>
      <c r="C4" s="793"/>
      <c r="D4" s="795"/>
      <c r="E4" s="263" t="s">
        <v>770</v>
      </c>
      <c r="F4" s="264" t="s">
        <v>771</v>
      </c>
      <c r="G4" s="263" t="s">
        <v>770</v>
      </c>
      <c r="H4" s="264" t="s">
        <v>771</v>
      </c>
      <c r="I4" s="263" t="s">
        <v>770</v>
      </c>
      <c r="J4" s="264" t="s">
        <v>771</v>
      </c>
      <c r="K4" s="263" t="s">
        <v>770</v>
      </c>
    </row>
    <row r="5" spans="1:13" ht="27.75" customHeight="1">
      <c r="A5" s="242" t="str">
        <f>'Modular Furniture'!A4</f>
        <v>A</v>
      </c>
      <c r="B5" s="238" t="str">
        <f>'Modular Furniture'!B4</f>
        <v>Modular Furniture</v>
      </c>
      <c r="C5" s="239"/>
      <c r="D5" s="240"/>
      <c r="E5" s="240"/>
      <c r="F5" s="240"/>
      <c r="G5" s="237"/>
      <c r="H5" s="240"/>
      <c r="I5" s="237"/>
      <c r="J5" s="240"/>
      <c r="K5" s="240"/>
    </row>
    <row r="6" spans="1:13" ht="18" customHeight="1">
      <c r="A6" s="242">
        <f>'Modular Furniture'!A5</f>
        <v>1</v>
      </c>
      <c r="B6" s="238" t="str">
        <f>'Modular Furniture'!B5</f>
        <v>ADMIN OFFICE TABLE  1200X600X750 MM</v>
      </c>
      <c r="C6" s="239"/>
      <c r="D6" s="240"/>
      <c r="E6" s="241"/>
      <c r="F6" s="241"/>
      <c r="G6" s="212"/>
      <c r="H6" s="241"/>
      <c r="I6" s="212"/>
      <c r="J6" s="241"/>
      <c r="K6" s="213"/>
    </row>
    <row r="7" spans="1:13" ht="45">
      <c r="A7" s="242" t="str">
        <f>'Modular Furniture'!A6</f>
        <v>a</v>
      </c>
      <c r="B7" s="468" t="str">
        <f>'Modular Furniture'!B6</f>
        <v xml:space="preserve">Admin Office tables &amp; chair. Including cost of all material , labour charges as directed by he departmental officers </v>
      </c>
      <c r="C7" s="239" t="s">
        <v>51</v>
      </c>
      <c r="D7" s="240">
        <v>1</v>
      </c>
      <c r="E7" s="241">
        <v>11250</v>
      </c>
      <c r="F7" s="241">
        <f t="shared" ref="F7:F13" si="0">IFERROR(ROUND(D7*E7,0),"")</f>
        <v>11250</v>
      </c>
      <c r="G7" s="212">
        <v>18000</v>
      </c>
      <c r="H7" s="241">
        <f t="shared" ref="H7:H13" si="1">IFERROR(ROUND(D7*G7,0),"")</f>
        <v>18000</v>
      </c>
      <c r="I7" s="212">
        <v>12600</v>
      </c>
      <c r="J7" s="241">
        <f t="shared" ref="J7:J13" si="2">IFERROR(ROUND(D7*I7,0),"")</f>
        <v>12600</v>
      </c>
      <c r="K7" s="213">
        <f>MIN(E7,G7,I7)</f>
        <v>11250</v>
      </c>
    </row>
    <row r="8" spans="1:13" ht="75">
      <c r="A8" s="242" t="str">
        <f>'Modular Furniture'!A7</f>
        <v>b</v>
      </c>
      <c r="B8" s="468" t="str">
        <f>'Modular Furniture'!B7</f>
        <v xml:space="preserve">Office storage cabinetAll panel 18mm thick prelam partical board finish, 2mm edge banding finish. Swing type shutter. Including cost of all material , labour charges as directed by he departmental officers </v>
      </c>
      <c r="C8" s="239" t="s">
        <v>51</v>
      </c>
      <c r="D8" s="240">
        <v>1</v>
      </c>
      <c r="E8" s="241">
        <v>4500</v>
      </c>
      <c r="F8" s="241">
        <f t="shared" si="0"/>
        <v>4500</v>
      </c>
      <c r="G8" s="212">
        <v>7200</v>
      </c>
      <c r="H8" s="241">
        <f t="shared" si="1"/>
        <v>7200</v>
      </c>
      <c r="I8" s="212">
        <v>4950</v>
      </c>
      <c r="J8" s="241">
        <f t="shared" si="2"/>
        <v>4950</v>
      </c>
      <c r="K8" s="213">
        <f>MIN(E8,G8,I8)</f>
        <v>4500</v>
      </c>
      <c r="M8" s="235"/>
    </row>
    <row r="9" spans="1:13">
      <c r="A9" s="242"/>
      <c r="B9" s="238" t="str">
        <f>'Modular Furniture'!B8</f>
        <v xml:space="preserve">WARDROBE 900X500X1950MM </v>
      </c>
      <c r="C9" s="239"/>
      <c r="D9" s="240"/>
      <c r="E9" s="241"/>
      <c r="F9" s="241"/>
      <c r="G9" s="212"/>
      <c r="H9" s="241"/>
      <c r="I9" s="212"/>
      <c r="J9" s="241"/>
      <c r="K9" s="213"/>
      <c r="M9" s="235"/>
    </row>
    <row r="10" spans="1:13" ht="75">
      <c r="A10" s="242">
        <f>'Modular Furniture'!A9</f>
        <v>2</v>
      </c>
      <c r="B10" s="468" t="str">
        <f>'Modular Furniture'!B9</f>
        <v xml:space="preserve">Supply and installation of Wooden / MDF wardrope  all panel 18mm thk  MDF board with 2mm edge banding finish. Including cost of all material , labour charges as directed by he departmental officers </v>
      </c>
      <c r="C10" s="239" t="s">
        <v>51</v>
      </c>
      <c r="D10" s="240">
        <v>1</v>
      </c>
      <c r="E10" s="241">
        <v>6000</v>
      </c>
      <c r="F10" s="241">
        <f t="shared" si="0"/>
        <v>6000</v>
      </c>
      <c r="G10" s="212">
        <v>9000</v>
      </c>
      <c r="H10" s="241">
        <f t="shared" si="1"/>
        <v>9000</v>
      </c>
      <c r="I10" s="212">
        <v>6600</v>
      </c>
      <c r="J10" s="241">
        <f t="shared" si="2"/>
        <v>6600</v>
      </c>
      <c r="K10" s="213">
        <f t="shared" ref="K10:K13" si="3">MIN(E10,G10,I10)</f>
        <v>6000</v>
      </c>
      <c r="M10" s="142"/>
    </row>
    <row r="11" spans="1:13" ht="75">
      <c r="A11" s="242">
        <f>'Modular Furniture'!A10</f>
        <v>3</v>
      </c>
      <c r="B11" s="468" t="str">
        <f>'Modular Furniture'!B10</f>
        <v xml:space="preserve">Kitchen Furniture and Storage                          Size: 2400 W X 1800 D X 800 HKitchen unit full set BWR ply wood finish. Including cost of all material , labour charges as directed by he departmental officers </v>
      </c>
      <c r="C11" s="239" t="s">
        <v>51</v>
      </c>
      <c r="D11" s="240">
        <v>1</v>
      </c>
      <c r="E11" s="241">
        <v>300000</v>
      </c>
      <c r="F11" s="241">
        <f t="shared" si="0"/>
        <v>300000</v>
      </c>
      <c r="G11" s="212">
        <v>480000</v>
      </c>
      <c r="H11" s="241">
        <f t="shared" si="1"/>
        <v>480000</v>
      </c>
      <c r="I11" s="212">
        <v>336000</v>
      </c>
      <c r="J11" s="241">
        <f t="shared" si="2"/>
        <v>336000</v>
      </c>
      <c r="K11" s="213">
        <f t="shared" si="3"/>
        <v>300000</v>
      </c>
      <c r="M11" s="142"/>
    </row>
    <row r="12" spans="1:13" ht="90">
      <c r="A12" s="242">
        <f>'Modular Furniture'!A11</f>
        <v>4</v>
      </c>
      <c r="B12" s="468" t="str">
        <f>'Modular Furniture'!B11</f>
        <v xml:space="preserve">Janitor storage                                                     Size: 900 W X 450 D X 1800 H18mm thick prelam partical board finish with 2mm edge banding and swing type shutters. Including cost of all material , labour charges as directed by he departmental officers </v>
      </c>
      <c r="C12" s="239" t="s">
        <v>51</v>
      </c>
      <c r="D12" s="240">
        <v>1</v>
      </c>
      <c r="E12" s="241">
        <v>18750</v>
      </c>
      <c r="F12" s="241">
        <f t="shared" si="0"/>
        <v>18750</v>
      </c>
      <c r="G12" s="212">
        <v>30000</v>
      </c>
      <c r="H12" s="241">
        <f t="shared" si="1"/>
        <v>30000</v>
      </c>
      <c r="I12" s="212">
        <v>21000</v>
      </c>
      <c r="J12" s="241">
        <f t="shared" si="2"/>
        <v>21000</v>
      </c>
      <c r="K12" s="213">
        <f t="shared" si="3"/>
        <v>18750</v>
      </c>
      <c r="M12" s="142"/>
    </row>
    <row r="13" spans="1:13" ht="30">
      <c r="A13" s="242">
        <f>'Modular Furniture'!A12</f>
        <v>5</v>
      </c>
      <c r="B13" s="468" t="str">
        <f>'Modular Furniture'!B12</f>
        <v>Pantry Furniture - BWR Ply                                     Size: 2400 W X 600 D X 800 H</v>
      </c>
      <c r="C13" s="239" t="s">
        <v>51</v>
      </c>
      <c r="D13" s="240">
        <v>1</v>
      </c>
      <c r="E13" s="241">
        <v>75000</v>
      </c>
      <c r="F13" s="241">
        <f t="shared" si="0"/>
        <v>75000</v>
      </c>
      <c r="G13" s="212">
        <v>112500</v>
      </c>
      <c r="H13" s="241">
        <f t="shared" si="1"/>
        <v>112500</v>
      </c>
      <c r="I13" s="212">
        <v>84000</v>
      </c>
      <c r="J13" s="241">
        <f t="shared" si="2"/>
        <v>84000</v>
      </c>
      <c r="K13" s="213">
        <f t="shared" si="3"/>
        <v>75000</v>
      </c>
      <c r="M13" s="142"/>
    </row>
    <row r="14" spans="1:13" ht="25.5" customHeight="1">
      <c r="A14" s="28"/>
      <c r="B14" s="29" t="s">
        <v>773</v>
      </c>
      <c r="C14" s="30"/>
      <c r="D14" s="31"/>
      <c r="E14" s="32"/>
      <c r="F14" s="32">
        <f>SUM(F5:F13)</f>
        <v>415500</v>
      </c>
      <c r="G14" s="140"/>
      <c r="H14" s="32">
        <f>SUM(H5:H13)</f>
        <v>656700</v>
      </c>
      <c r="I14" s="140"/>
      <c r="J14" s="32">
        <f>SUM(J5:J13)</f>
        <v>465150</v>
      </c>
      <c r="K14" s="32"/>
    </row>
    <row r="15" spans="1:13" ht="25.5" customHeight="1">
      <c r="A15" s="28"/>
      <c r="B15" s="29" t="s">
        <v>774</v>
      </c>
      <c r="C15" s="30"/>
      <c r="D15" s="31"/>
      <c r="E15" s="32"/>
      <c r="F15" s="32">
        <f>F14*2%</f>
        <v>8310</v>
      </c>
      <c r="G15" s="140"/>
      <c r="H15" s="32">
        <f>H14*2%</f>
        <v>13134</v>
      </c>
      <c r="I15" s="140"/>
      <c r="J15" s="32">
        <f>J14*2%</f>
        <v>9303</v>
      </c>
      <c r="K15" s="32"/>
    </row>
    <row r="16" spans="1:13" ht="25.5" customHeight="1">
      <c r="A16" s="28"/>
      <c r="B16" s="29" t="s">
        <v>775</v>
      </c>
      <c r="C16" s="30"/>
      <c r="D16" s="31"/>
      <c r="E16" s="32"/>
      <c r="F16" s="32">
        <f>SUM(F14:F15)</f>
        <v>423810</v>
      </c>
      <c r="G16" s="140"/>
      <c r="H16" s="32">
        <f>SUM(H14:H15)</f>
        <v>669834</v>
      </c>
      <c r="I16" s="140"/>
      <c r="J16" s="32">
        <f>SUM(J14:J15)</f>
        <v>474453</v>
      </c>
      <c r="K16" s="32"/>
    </row>
    <row r="17" spans="6:10" ht="25.5" customHeight="1"/>
    <row r="18" spans="6:10" ht="19.5" customHeight="1">
      <c r="F18" s="143"/>
      <c r="G18" s="144"/>
      <c r="H18" s="145"/>
      <c r="I18" s="146"/>
      <c r="J18" s="145"/>
    </row>
    <row r="21" spans="6:10">
      <c r="F21" s="147"/>
      <c r="H21" s="147"/>
      <c r="J21" s="147"/>
    </row>
  </sheetData>
  <mergeCells count="8">
    <mergeCell ref="A1:K1"/>
    <mergeCell ref="A3:A4"/>
    <mergeCell ref="B3:B4"/>
    <mergeCell ref="C3:C4"/>
    <mergeCell ref="D3:D4"/>
    <mergeCell ref="E3:F3"/>
    <mergeCell ref="G3:H3"/>
    <mergeCell ref="I3:J3"/>
  </mergeCells>
  <printOptions horizontalCentered="1"/>
  <pageMargins left="0.59" right="0.39500000000000002" top="0.74803149606299202" bottom="0.74803149606299202" header="0.31496062992126" footer="0.31496062992126"/>
  <pageSetup paperSize="9" scale="68" orientation="landscape" r:id="rId1"/>
  <headerFooter>
    <oddHeader>&amp;L&amp;"Arial,Regular"Proposed Working Women's Hostels for TNWWHSB at Tiruvannamalai.&amp;R&amp;"Tahoma,Regular"&amp;A</oddHeader>
    <oddFooter>&amp;L&amp;"Tahoma,Regular"DIUS Design Consultants Pvt Ltd&amp;C&amp;"Tahoma,Regular"&amp;P of &amp;N&amp;R&amp;"Tahoma,Regular"Knight Frank (India) Pvt Ltd</oddFooter>
  </headerFooter>
</worksheet>
</file>

<file path=xl/worksheets/sheet12.xml><?xml version="1.0" encoding="utf-8"?>
<worksheet xmlns="http://schemas.openxmlformats.org/spreadsheetml/2006/main" xmlns:r="http://schemas.openxmlformats.org/officeDocument/2006/relationships">
  <sheetPr>
    <tabColor theme="2"/>
  </sheetPr>
  <dimension ref="A1:K19"/>
  <sheetViews>
    <sheetView view="pageBreakPreview" zoomScale="85" zoomScaleSheetLayoutView="85" workbookViewId="0">
      <pane xSplit="4" ySplit="4" topLeftCell="E5" activePane="bottomRight" state="frozen"/>
      <selection activeCell="E40" sqref="E40"/>
      <selection pane="topRight" activeCell="E40" sqref="E40"/>
      <selection pane="bottomLeft" activeCell="E40" sqref="E40"/>
      <selection pane="bottomRight" activeCell="E40" sqref="E40"/>
    </sheetView>
  </sheetViews>
  <sheetFormatPr defaultColWidth="9.140625" defaultRowHeight="15"/>
  <cols>
    <col min="1" max="1" width="9" style="139" bestFit="1" customWidth="1"/>
    <col min="2" max="2" width="50.7109375" style="139" customWidth="1"/>
    <col min="3" max="3" width="7.5703125" style="139" customWidth="1"/>
    <col min="4" max="4" width="11.42578125" style="141" bestFit="1" customWidth="1"/>
    <col min="5" max="5" width="14.140625" style="141" customWidth="1"/>
    <col min="6" max="6" width="15.7109375" style="139" customWidth="1"/>
    <col min="7" max="7" width="14.140625" style="142" customWidth="1"/>
    <col min="8" max="8" width="15.7109375" style="139" customWidth="1"/>
    <col min="9" max="9" width="14.140625" style="142" customWidth="1"/>
    <col min="10" max="10" width="15.7109375" style="139" customWidth="1"/>
    <col min="11" max="11" width="16.28515625" style="139" customWidth="1"/>
    <col min="12" max="16384" width="9.140625" style="139"/>
  </cols>
  <sheetData>
    <row r="1" spans="1:11" ht="24.95" customHeight="1">
      <c r="A1" s="769" t="s">
        <v>1860</v>
      </c>
      <c r="B1" s="770"/>
      <c r="C1" s="770"/>
      <c r="D1" s="770"/>
      <c r="E1" s="770"/>
      <c r="F1" s="770"/>
      <c r="G1" s="770"/>
      <c r="H1" s="770"/>
      <c r="I1" s="770"/>
      <c r="J1" s="770"/>
      <c r="K1" s="771"/>
    </row>
    <row r="2" spans="1:11" ht="24.95" customHeight="1">
      <c r="A2" s="258" t="s">
        <v>905</v>
      </c>
      <c r="B2" s="259"/>
      <c r="C2" s="259"/>
      <c r="D2" s="259"/>
      <c r="E2" s="259"/>
      <c r="F2" s="259"/>
      <c r="G2" s="260"/>
      <c r="H2" s="259"/>
      <c r="I2" s="260"/>
      <c r="J2" s="259"/>
      <c r="K2" s="261" t="s">
        <v>911</v>
      </c>
    </row>
    <row r="3" spans="1:11" ht="30" customHeight="1">
      <c r="A3" s="798" t="s">
        <v>768</v>
      </c>
      <c r="B3" s="798" t="s">
        <v>1</v>
      </c>
      <c r="C3" s="798" t="s">
        <v>146</v>
      </c>
      <c r="D3" s="800" t="s">
        <v>148</v>
      </c>
      <c r="E3" s="802" t="s">
        <v>907</v>
      </c>
      <c r="F3" s="803"/>
      <c r="G3" s="802" t="s">
        <v>908</v>
      </c>
      <c r="H3" s="803"/>
      <c r="I3" s="802" t="s">
        <v>909</v>
      </c>
      <c r="J3" s="803"/>
      <c r="K3" s="265" t="s">
        <v>910</v>
      </c>
    </row>
    <row r="4" spans="1:11" ht="30">
      <c r="A4" s="799"/>
      <c r="B4" s="799"/>
      <c r="C4" s="799"/>
      <c r="D4" s="801"/>
      <c r="E4" s="22" t="s">
        <v>770</v>
      </c>
      <c r="F4" s="23" t="s">
        <v>771</v>
      </c>
      <c r="G4" s="22" t="s">
        <v>770</v>
      </c>
      <c r="H4" s="23" t="s">
        <v>771</v>
      </c>
      <c r="I4" s="22" t="s">
        <v>770</v>
      </c>
      <c r="J4" s="23" t="s">
        <v>771</v>
      </c>
      <c r="K4" s="22" t="s">
        <v>770</v>
      </c>
    </row>
    <row r="5" spans="1:11" ht="45">
      <c r="A5" s="243" t="s">
        <v>772</v>
      </c>
      <c r="B5" s="244" t="str">
        <f>'Loose Furniture and Chairs'!B4</f>
        <v>Supply and Delivery of Loose Furniture and Chairs including cost of transportation charges and ect.</v>
      </c>
      <c r="C5" s="239"/>
      <c r="D5" s="240"/>
      <c r="E5" s="240"/>
      <c r="F5" s="240"/>
      <c r="G5" s="237"/>
      <c r="H5" s="240"/>
      <c r="I5" s="237"/>
      <c r="J5" s="240"/>
      <c r="K5" s="240"/>
    </row>
    <row r="6" spans="1:11" ht="18" customHeight="1">
      <c r="A6" s="253">
        <f>'Loose Furniture and Chairs'!A5</f>
        <v>1</v>
      </c>
      <c r="B6" s="244" t="str">
        <f>'Loose Furniture and Chairs'!B5</f>
        <v>CANTEEN</v>
      </c>
      <c r="C6" s="239"/>
      <c r="D6" s="240"/>
      <c r="E6" s="241"/>
      <c r="F6" s="241"/>
      <c r="G6" s="212"/>
      <c r="H6" s="241"/>
      <c r="I6" s="212"/>
      <c r="J6" s="241"/>
      <c r="K6" s="213"/>
    </row>
    <row r="7" spans="1:11" ht="115.5" customHeight="1">
      <c r="A7" s="253" t="str">
        <f>'Loose Furniture and Chairs'!A6</f>
        <v>a</v>
      </c>
      <c r="B7" s="469" t="str">
        <f>'Loose Furniture and Chairs'!B6</f>
        <v>Dining tables with 4 chairsSize : 1200 W x 800 D x 750 Ht Dining table top 18mm thicl PLPB finish with 2mm edge banding. Support leg ms powder coating finish.</v>
      </c>
      <c r="C7" s="239" t="s">
        <v>51</v>
      </c>
      <c r="D7" s="240">
        <v>1</v>
      </c>
      <c r="E7" s="241">
        <v>18750</v>
      </c>
      <c r="F7" s="241">
        <f t="shared" ref="F7" si="0">IFERROR(ROUND(D7*E7,0),"")</f>
        <v>18750</v>
      </c>
      <c r="G7" s="212">
        <v>28125</v>
      </c>
      <c r="H7" s="241">
        <f t="shared" ref="H7" si="1">IFERROR(ROUND(D7*G7,0),"")</f>
        <v>28125</v>
      </c>
      <c r="I7" s="212">
        <v>21000</v>
      </c>
      <c r="J7" s="241">
        <f t="shared" ref="J7" si="2">IFERROR(ROUND(D7*I7,0),"")</f>
        <v>21000</v>
      </c>
      <c r="K7" s="213">
        <f t="shared" ref="K7" si="3">MIN(E7,G7,I7)</f>
        <v>18750</v>
      </c>
    </row>
    <row r="8" spans="1:11" ht="18" customHeight="1">
      <c r="A8" s="253">
        <f>'Loose Furniture and Chairs'!A7</f>
        <v>2</v>
      </c>
      <c r="B8" s="244" t="str">
        <f>'Loose Furniture and Chairs'!B7</f>
        <v>ROOMS</v>
      </c>
      <c r="C8" s="239"/>
      <c r="D8" s="240"/>
      <c r="E8" s="241"/>
      <c r="F8" s="241"/>
      <c r="G8" s="212"/>
      <c r="H8" s="241"/>
      <c r="I8" s="212"/>
      <c r="J8" s="241"/>
      <c r="K8" s="213"/>
    </row>
    <row r="9" spans="1:11" ht="138" customHeight="1">
      <c r="A9" s="253" t="str">
        <f>'Loose Furniture and Chairs'!A8</f>
        <v>a</v>
      </c>
      <c r="B9" s="469" t="str">
        <f>'Loose Furniture and Chairs'!B8</f>
        <v>WOODE / MDF BED (Without Mattress)25mm thick head board and foot board MDF board with 2mm edge banding finish. Support section ms powder coating finish.</v>
      </c>
      <c r="C9" s="239" t="s">
        <v>51</v>
      </c>
      <c r="D9" s="240">
        <v>1</v>
      </c>
      <c r="E9" s="241">
        <v>7500</v>
      </c>
      <c r="F9" s="241">
        <f t="shared" ref="F9:F12" si="4">IFERROR(ROUND(D9*E9,0),"")</f>
        <v>7500</v>
      </c>
      <c r="G9" s="212">
        <v>11250</v>
      </c>
      <c r="H9" s="241">
        <f t="shared" ref="H9:H12" si="5">IFERROR(ROUND(D9*G9,0),"")</f>
        <v>11250</v>
      </c>
      <c r="I9" s="212">
        <v>8250</v>
      </c>
      <c r="J9" s="241">
        <f t="shared" ref="J9:J12" si="6">IFERROR(ROUND(D9*I9,0),"")</f>
        <v>8250</v>
      </c>
      <c r="K9" s="213">
        <f t="shared" ref="K9:K12" si="7">MIN(E9,G9,I9)</f>
        <v>7500</v>
      </c>
    </row>
    <row r="10" spans="1:11" ht="60">
      <c r="A10" s="253" t="str">
        <f>'Loose Furniture and Chairs'!A9</f>
        <v>b</v>
      </c>
      <c r="B10" s="469" t="str">
        <f>'Loose Furniture and Chairs'!B9</f>
        <v>SIDE TABLE1200 W X 450 D X 750 H                                         All panel 18mm thick prelam partical board finish, 2mm edge banding finish. Swing type shutter.</v>
      </c>
      <c r="C10" s="239" t="s">
        <v>51</v>
      </c>
      <c r="D10" s="240">
        <v>1</v>
      </c>
      <c r="E10" s="241">
        <v>4500</v>
      </c>
      <c r="F10" s="241">
        <f t="shared" si="4"/>
        <v>4500</v>
      </c>
      <c r="G10" s="212">
        <v>7200</v>
      </c>
      <c r="H10" s="241">
        <f t="shared" si="5"/>
        <v>7200</v>
      </c>
      <c r="I10" s="212">
        <v>4950</v>
      </c>
      <c r="J10" s="241">
        <f t="shared" si="6"/>
        <v>4950</v>
      </c>
      <c r="K10" s="213">
        <f t="shared" si="7"/>
        <v>4500</v>
      </c>
    </row>
    <row r="11" spans="1:11" ht="105.75" customHeight="1">
      <c r="A11" s="253" t="str">
        <f>'Loose Furniture and Chairs'!A10</f>
        <v>d</v>
      </c>
      <c r="B11" s="469" t="str">
        <f>'Loose Furniture and Chairs'!B10</f>
        <v>STUDY TABLE WITH SELFSize : 1050 x 550 x 750 HtWooden/MDF Bed 25mm thick head board and foot board MDF board with 2mm edge banding finish. Support section ms powder coating finish.</v>
      </c>
      <c r="C11" s="239" t="s">
        <v>51</v>
      </c>
      <c r="D11" s="240">
        <v>1</v>
      </c>
      <c r="E11" s="241">
        <v>4500</v>
      </c>
      <c r="F11" s="241">
        <f t="shared" si="4"/>
        <v>4500</v>
      </c>
      <c r="G11" s="212">
        <v>6750</v>
      </c>
      <c r="H11" s="241">
        <f t="shared" si="5"/>
        <v>6750</v>
      </c>
      <c r="I11" s="212">
        <v>4950</v>
      </c>
      <c r="J11" s="241">
        <f t="shared" si="6"/>
        <v>4950</v>
      </c>
      <c r="K11" s="213">
        <f t="shared" si="7"/>
        <v>4500</v>
      </c>
    </row>
    <row r="12" spans="1:11">
      <c r="A12" s="253" t="str">
        <f>'Loose Furniture and Chairs'!A11</f>
        <v>e</v>
      </c>
      <c r="B12" s="469" t="str">
        <f>'Loose Furniture and Chairs'!B11</f>
        <v>STUDY CHAIR</v>
      </c>
      <c r="C12" s="239" t="s">
        <v>51</v>
      </c>
      <c r="D12" s="240">
        <v>1</v>
      </c>
      <c r="E12" s="241">
        <v>2250</v>
      </c>
      <c r="F12" s="241">
        <f t="shared" si="4"/>
        <v>2250</v>
      </c>
      <c r="G12" s="212">
        <v>3375</v>
      </c>
      <c r="H12" s="241">
        <f t="shared" si="5"/>
        <v>3375</v>
      </c>
      <c r="I12" s="212">
        <v>2475</v>
      </c>
      <c r="J12" s="241">
        <f t="shared" si="6"/>
        <v>2475</v>
      </c>
      <c r="K12" s="213">
        <f t="shared" si="7"/>
        <v>2250</v>
      </c>
    </row>
    <row r="13" spans="1:11" ht="25.5" customHeight="1">
      <c r="A13" s="28"/>
      <c r="B13" s="29" t="s">
        <v>773</v>
      </c>
      <c r="C13" s="30"/>
      <c r="D13" s="31"/>
      <c r="E13" s="32"/>
      <c r="F13" s="32">
        <f>SUM(F5:F12)</f>
        <v>37500</v>
      </c>
      <c r="G13" s="140"/>
      <c r="H13" s="32">
        <f>SUM(H5:H12)</f>
        <v>56700</v>
      </c>
      <c r="I13" s="140"/>
      <c r="J13" s="32">
        <f>SUM(J5:J12)</f>
        <v>41625</v>
      </c>
      <c r="K13" s="32"/>
    </row>
    <row r="14" spans="1:11" ht="25.5" customHeight="1">
      <c r="A14" s="28"/>
      <c r="B14" s="29" t="s">
        <v>774</v>
      </c>
      <c r="C14" s="30"/>
      <c r="D14" s="31"/>
      <c r="E14" s="32"/>
      <c r="F14" s="32">
        <f>F13*2%</f>
        <v>750</v>
      </c>
      <c r="G14" s="140"/>
      <c r="H14" s="32"/>
      <c r="I14" s="140"/>
      <c r="J14" s="32"/>
      <c r="K14" s="32"/>
    </row>
    <row r="15" spans="1:11" ht="25.5" customHeight="1">
      <c r="A15" s="28"/>
      <c r="B15" s="29" t="s">
        <v>775</v>
      </c>
      <c r="C15" s="30"/>
      <c r="D15" s="31"/>
      <c r="E15" s="32"/>
      <c r="F15" s="32">
        <f>SUM(F13:F14)</f>
        <v>38250</v>
      </c>
      <c r="G15" s="140"/>
      <c r="H15" s="32">
        <f>SUM(H13:H14)</f>
        <v>56700</v>
      </c>
      <c r="I15" s="140"/>
      <c r="J15" s="32">
        <f>SUM(J13:J14)</f>
        <v>41625</v>
      </c>
      <c r="K15" s="32"/>
    </row>
    <row r="16" spans="1:11" ht="19.5" customHeight="1">
      <c r="F16" s="143"/>
      <c r="G16" s="144"/>
      <c r="H16" s="145"/>
      <c r="I16" s="146"/>
      <c r="J16" s="145"/>
    </row>
    <row r="19" spans="6:10">
      <c r="F19" s="147"/>
      <c r="H19" s="147"/>
      <c r="J19" s="147"/>
    </row>
  </sheetData>
  <mergeCells count="8">
    <mergeCell ref="A1:K1"/>
    <mergeCell ref="A3:A4"/>
    <mergeCell ref="B3:B4"/>
    <mergeCell ref="C3:C4"/>
    <mergeCell ref="D3:D4"/>
    <mergeCell ref="E3:F3"/>
    <mergeCell ref="G3:H3"/>
    <mergeCell ref="I3:J3"/>
  </mergeCells>
  <printOptions horizontalCentered="1"/>
  <pageMargins left="0.59" right="0.39500000000000002" top="0.74803149606299202" bottom="0.74803149606299202" header="0.31496062992126" footer="0.31496062992126"/>
  <pageSetup paperSize="9" scale="73" orientation="landscape" r:id="rId1"/>
  <headerFooter>
    <oddHeader>&amp;L&amp;"Arial,Regular"Proposed Working Women's Hostels for TNWWHSB at Tiruvannamalai.&amp;R&amp;A</oddHeader>
    <oddFooter>&amp;L&amp;"Tahoma,Regular"DIUS Design Consultants Pvt Ltd&amp;C&amp;"Tahoma,Regular"&amp;P of &amp;N&amp;R&amp;"Tahoma,Regular"Knight Frank (India) Pvt Ltd</oddFooter>
  </headerFooter>
  <rowBreaks count="1" manualBreakCount="1">
    <brk id="9" max="10" man="1"/>
  </rowBreaks>
</worksheet>
</file>

<file path=xl/worksheets/sheet13.xml><?xml version="1.0" encoding="utf-8"?>
<worksheet xmlns="http://schemas.openxmlformats.org/spreadsheetml/2006/main" xmlns:r="http://schemas.openxmlformats.org/officeDocument/2006/relationships">
  <sheetPr>
    <tabColor theme="2"/>
  </sheetPr>
  <dimension ref="A1:N17"/>
  <sheetViews>
    <sheetView view="pageBreakPreview" zoomScale="85" zoomScaleSheetLayoutView="85" workbookViewId="0">
      <pane ySplit="4" topLeftCell="A5" activePane="bottomLeft" state="frozen"/>
      <selection activeCell="E40" sqref="E40"/>
      <selection pane="bottomLeft" activeCell="E40" sqref="E40"/>
    </sheetView>
  </sheetViews>
  <sheetFormatPr defaultColWidth="9.140625" defaultRowHeight="15"/>
  <cols>
    <col min="1" max="1" width="9" style="148" customWidth="1"/>
    <col min="2" max="2" width="50.7109375" style="159" customWidth="1"/>
    <col min="3" max="3" width="7.5703125" style="160" customWidth="1"/>
    <col min="4" max="4" width="11.42578125" style="161" bestFit="1" customWidth="1"/>
    <col min="5" max="5" width="14.140625" style="161" customWidth="1"/>
    <col min="6" max="6" width="15.7109375" style="161" customWidth="1"/>
    <col min="7" max="7" width="14.140625" style="161" customWidth="1"/>
    <col min="8" max="8" width="15.7109375" style="161" customWidth="1"/>
    <col min="9" max="9" width="14.140625" style="161" customWidth="1"/>
    <col min="10" max="10" width="15.7109375" style="161" customWidth="1"/>
    <col min="11" max="11" width="16.28515625" style="148" customWidth="1"/>
    <col min="12" max="13" width="9.140625" style="148"/>
    <col min="14" max="14" width="13.140625" style="148" bestFit="1" customWidth="1"/>
    <col min="15" max="16384" width="9.140625" style="148"/>
  </cols>
  <sheetData>
    <row r="1" spans="1:14" ht="24.95" customHeight="1">
      <c r="A1" s="804" t="s">
        <v>1860</v>
      </c>
      <c r="B1" s="805"/>
      <c r="C1" s="805"/>
      <c r="D1" s="805"/>
      <c r="E1" s="805"/>
      <c r="F1" s="805"/>
      <c r="G1" s="805"/>
      <c r="H1" s="805"/>
      <c r="I1" s="805"/>
      <c r="J1" s="805"/>
      <c r="K1" s="806"/>
    </row>
    <row r="2" spans="1:14" ht="24.95" customHeight="1">
      <c r="A2" s="258" t="s">
        <v>905</v>
      </c>
      <c r="B2" s="266"/>
      <c r="C2" s="266"/>
      <c r="D2" s="266"/>
      <c r="E2" s="266"/>
      <c r="F2" s="266"/>
      <c r="G2" s="266"/>
      <c r="H2" s="266"/>
      <c r="I2" s="266"/>
      <c r="J2" s="266"/>
      <c r="K2" s="261" t="s">
        <v>913</v>
      </c>
    </row>
    <row r="3" spans="1:14" ht="37.5" customHeight="1">
      <c r="A3" s="798" t="s">
        <v>768</v>
      </c>
      <c r="B3" s="798" t="s">
        <v>1</v>
      </c>
      <c r="C3" s="798" t="s">
        <v>146</v>
      </c>
      <c r="D3" s="800" t="s">
        <v>148</v>
      </c>
      <c r="E3" s="802" t="s">
        <v>1895</v>
      </c>
      <c r="F3" s="803"/>
      <c r="G3" s="802" t="s">
        <v>1896</v>
      </c>
      <c r="H3" s="803"/>
      <c r="I3" s="802" t="s">
        <v>1897</v>
      </c>
      <c r="J3" s="803"/>
      <c r="K3" s="256" t="s">
        <v>910</v>
      </c>
    </row>
    <row r="4" spans="1:14" ht="30">
      <c r="A4" s="807"/>
      <c r="B4" s="807"/>
      <c r="C4" s="807"/>
      <c r="D4" s="808"/>
      <c r="E4" s="22" t="s">
        <v>770</v>
      </c>
      <c r="F4" s="23" t="s">
        <v>771</v>
      </c>
      <c r="G4" s="22" t="s">
        <v>770</v>
      </c>
      <c r="H4" s="23" t="s">
        <v>771</v>
      </c>
      <c r="I4" s="22" t="s">
        <v>770</v>
      </c>
      <c r="J4" s="23" t="s">
        <v>771</v>
      </c>
      <c r="K4" s="22" t="s">
        <v>770</v>
      </c>
    </row>
    <row r="5" spans="1:14">
      <c r="A5" s="149"/>
      <c r="B5" s="150" t="s">
        <v>914</v>
      </c>
      <c r="C5" s="149"/>
      <c r="D5" s="151"/>
      <c r="E5" s="22"/>
      <c r="F5" s="23"/>
      <c r="G5" s="22"/>
      <c r="H5" s="23"/>
      <c r="I5" s="22"/>
      <c r="J5" s="23"/>
      <c r="K5" s="149"/>
    </row>
    <row r="6" spans="1:14" s="152" customFormat="1" ht="45">
      <c r="A6" s="254">
        <v>1</v>
      </c>
      <c r="B6" s="255" t="s">
        <v>782</v>
      </c>
      <c r="C6" s="255"/>
      <c r="D6" s="255"/>
      <c r="E6" s="255"/>
      <c r="F6" s="255"/>
      <c r="G6" s="212"/>
      <c r="H6" s="237"/>
      <c r="I6" s="212"/>
      <c r="J6" s="237"/>
      <c r="K6" s="158"/>
    </row>
    <row r="7" spans="1:14" s="152" customFormat="1" ht="399.95" customHeight="1">
      <c r="A7" s="155"/>
      <c r="B7" s="211" t="s">
        <v>915</v>
      </c>
      <c r="C7" s="155" t="s">
        <v>51</v>
      </c>
      <c r="D7" s="212">
        <v>1</v>
      </c>
      <c r="E7" s="212">
        <v>81500</v>
      </c>
      <c r="F7" s="212">
        <f>+D7*E7</f>
        <v>81500</v>
      </c>
      <c r="G7" s="212">
        <v>70000</v>
      </c>
      <c r="H7" s="237">
        <f>+D7*G7</f>
        <v>70000</v>
      </c>
      <c r="I7" s="212">
        <v>84890</v>
      </c>
      <c r="J7" s="237">
        <f>+D7*I7</f>
        <v>84890</v>
      </c>
      <c r="K7" s="213">
        <f>MIN(E7,G7,I7)</f>
        <v>70000</v>
      </c>
    </row>
    <row r="8" spans="1:14" s="152" customFormat="1" ht="63.75" customHeight="1">
      <c r="A8" s="155">
        <v>2</v>
      </c>
      <c r="B8" s="156" t="s">
        <v>783</v>
      </c>
      <c r="C8" s="155"/>
      <c r="D8" s="212"/>
      <c r="E8" s="212"/>
      <c r="F8" s="212"/>
      <c r="G8" s="212"/>
      <c r="H8" s="237"/>
      <c r="I8" s="212"/>
      <c r="J8" s="237"/>
      <c r="K8" s="158"/>
    </row>
    <row r="9" spans="1:14" s="152" customFormat="1" ht="405">
      <c r="A9" s="155"/>
      <c r="B9" s="211" t="s">
        <v>916</v>
      </c>
      <c r="C9" s="155" t="s">
        <v>917</v>
      </c>
      <c r="D9" s="212">
        <v>1</v>
      </c>
      <c r="E9" s="212">
        <v>8508</v>
      </c>
      <c r="F9" s="212">
        <f t="shared" ref="F9" si="0">+D9*E9</f>
        <v>8508</v>
      </c>
      <c r="G9" s="212">
        <v>7200</v>
      </c>
      <c r="H9" s="237">
        <f t="shared" ref="H9" si="1">+D9*G9</f>
        <v>7200</v>
      </c>
      <c r="I9" s="212">
        <v>8798</v>
      </c>
      <c r="J9" s="237">
        <f t="shared" ref="J9" si="2">+D9*I9</f>
        <v>8798</v>
      </c>
      <c r="K9" s="213">
        <f>MIN(E9,G9,I9)</f>
        <v>7200</v>
      </c>
    </row>
    <row r="10" spans="1:14" s="152" customFormat="1" ht="75">
      <c r="A10" s="155">
        <v>3</v>
      </c>
      <c r="B10" s="156" t="s">
        <v>918</v>
      </c>
      <c r="C10" s="155"/>
      <c r="D10" s="212"/>
      <c r="E10" s="212"/>
      <c r="F10" s="212"/>
      <c r="G10" s="212"/>
      <c r="H10" s="237"/>
      <c r="I10" s="212"/>
      <c r="J10" s="237"/>
      <c r="K10" s="158"/>
    </row>
    <row r="11" spans="1:14" s="152" customFormat="1" ht="330">
      <c r="A11" s="155"/>
      <c r="B11" s="211" t="s">
        <v>117</v>
      </c>
      <c r="C11" s="155"/>
      <c r="D11" s="212"/>
      <c r="E11" s="212"/>
      <c r="F11" s="212"/>
      <c r="G11" s="212"/>
      <c r="H11" s="237"/>
      <c r="I11" s="212"/>
      <c r="J11" s="237"/>
      <c r="K11" s="158"/>
    </row>
    <row r="12" spans="1:14" s="152" customFormat="1" ht="195">
      <c r="A12" s="155"/>
      <c r="B12" s="211" t="s">
        <v>116</v>
      </c>
      <c r="C12" s="155"/>
      <c r="D12" s="212"/>
      <c r="E12" s="212"/>
      <c r="F12" s="212"/>
      <c r="G12" s="212"/>
      <c r="H12" s="237"/>
      <c r="I12" s="212"/>
      <c r="J12" s="237"/>
      <c r="K12" s="158"/>
    </row>
    <row r="13" spans="1:14" s="152" customFormat="1" ht="120">
      <c r="A13" s="155" t="s">
        <v>71</v>
      </c>
      <c r="B13" s="211" t="s">
        <v>919</v>
      </c>
      <c r="C13" s="155" t="s">
        <v>51</v>
      </c>
      <c r="D13" s="212">
        <v>1</v>
      </c>
      <c r="E13" s="212">
        <v>89529</v>
      </c>
      <c r="F13" s="212">
        <f t="shared" ref="F13" si="3">+D13*E13</f>
        <v>89529</v>
      </c>
      <c r="G13" s="212">
        <v>75411</v>
      </c>
      <c r="H13" s="237">
        <f t="shared" ref="H13" si="4">+D13*G13</f>
        <v>75411</v>
      </c>
      <c r="I13" s="212">
        <v>93500</v>
      </c>
      <c r="J13" s="237">
        <f t="shared" ref="J13" si="5">+D13*I13</f>
        <v>93500</v>
      </c>
      <c r="K13" s="213">
        <f>MIN(E13,G13,I13)</f>
        <v>75411</v>
      </c>
      <c r="N13" s="154"/>
    </row>
    <row r="14" spans="1:14" s="152" customFormat="1" ht="60">
      <c r="A14" s="155" t="s">
        <v>70</v>
      </c>
      <c r="B14" s="211" t="s">
        <v>1907</v>
      </c>
      <c r="C14" s="155" t="s">
        <v>51</v>
      </c>
      <c r="D14" s="212">
        <v>1</v>
      </c>
      <c r="E14" s="212">
        <v>28500</v>
      </c>
      <c r="F14" s="212">
        <f t="shared" ref="F14" si="6">+D14*E14</f>
        <v>28500</v>
      </c>
      <c r="G14" s="212">
        <v>22150</v>
      </c>
      <c r="H14" s="237">
        <f t="shared" ref="H14" si="7">+D14*G14</f>
        <v>22150</v>
      </c>
      <c r="I14" s="212">
        <v>30500</v>
      </c>
      <c r="J14" s="237">
        <f t="shared" ref="J14" si="8">+D14*I14</f>
        <v>30500</v>
      </c>
      <c r="K14" s="213">
        <f>MIN(E14,G14,I14)</f>
        <v>22150</v>
      </c>
      <c r="N14" s="154"/>
    </row>
    <row r="15" spans="1:14" s="152" customFormat="1" ht="26.25" customHeight="1">
      <c r="A15" s="155"/>
      <c r="B15" s="156" t="s">
        <v>920</v>
      </c>
      <c r="C15" s="157"/>
      <c r="D15" s="140"/>
      <c r="E15" s="140"/>
      <c r="F15" s="140">
        <f>ROUND(SUM(F6:F14),0)</f>
        <v>208037</v>
      </c>
      <c r="G15" s="140"/>
      <c r="H15" s="140">
        <f>ROUND(SUM(H6:H14),0)</f>
        <v>174761</v>
      </c>
      <c r="I15" s="140"/>
      <c r="J15" s="140">
        <f>ROUND(SUM(J6:J14),0)</f>
        <v>217688</v>
      </c>
      <c r="K15" s="158"/>
    </row>
    <row r="17" spans="6:10">
      <c r="F17" s="162"/>
      <c r="G17" s="163"/>
      <c r="H17" s="162"/>
      <c r="I17" s="163"/>
      <c r="J17" s="162"/>
    </row>
  </sheetData>
  <mergeCells count="8">
    <mergeCell ref="A1:K1"/>
    <mergeCell ref="A3:A4"/>
    <mergeCell ref="B3:B4"/>
    <mergeCell ref="C3:C4"/>
    <mergeCell ref="D3:D4"/>
    <mergeCell ref="E3:F3"/>
    <mergeCell ref="G3:H3"/>
    <mergeCell ref="I3:J3"/>
  </mergeCells>
  <printOptions horizontalCentered="1"/>
  <pageMargins left="0.59" right="0.39500000000000002" top="0.74803149606299202" bottom="0.74803149606299202" header="0.31496062992126" footer="0.31496062992126"/>
  <pageSetup paperSize="9" scale="73" orientation="landscape" r:id="rId1"/>
  <headerFooter>
    <oddHeader>&amp;L&amp;"Arial,Regular"Proposed Working Women's Hostels for TNWWHSB at Tiruvannamalai.&amp;R&amp;"Tahoma,Regular"&amp;A</oddHeader>
    <oddFooter>&amp;L&amp;"Tahoma,Regular"DIUS Design Consultants Pvt Ltd&amp;C&amp;"Tahoma,Regular"&amp;P of &amp;N&amp;R&amp;"Tahoma,Regular"Knight Frank (India) Pvt Ltd</oddFooter>
  </headerFooter>
  <rowBreaks count="2" manualBreakCount="2">
    <brk id="7" max="10" man="1"/>
    <brk id="9" max="10" man="1"/>
  </rowBreaks>
</worksheet>
</file>

<file path=xl/worksheets/sheet14.xml><?xml version="1.0" encoding="utf-8"?>
<worksheet xmlns="http://schemas.openxmlformats.org/spreadsheetml/2006/main" xmlns:r="http://schemas.openxmlformats.org/officeDocument/2006/relationships">
  <sheetPr>
    <tabColor theme="2"/>
  </sheetPr>
  <dimension ref="A1:N80"/>
  <sheetViews>
    <sheetView view="pageBreakPreview" zoomScale="85" zoomScaleSheetLayoutView="85" workbookViewId="0">
      <pane xSplit="4" ySplit="4" topLeftCell="E78" activePane="bottomRight" state="frozen"/>
      <selection activeCell="E40" sqref="E40"/>
      <selection pane="topRight" activeCell="E40" sqref="E40"/>
      <selection pane="bottomLeft" activeCell="E40" sqref="E40"/>
      <selection pane="bottomRight" activeCell="E40" sqref="E40"/>
    </sheetView>
  </sheetViews>
  <sheetFormatPr defaultColWidth="9.140625" defaultRowHeight="15"/>
  <cols>
    <col min="1" max="1" width="9" style="508" customWidth="1"/>
    <col min="2" max="2" width="50.7109375" style="532" customWidth="1"/>
    <col min="3" max="3" width="7.5703125" style="533" customWidth="1"/>
    <col min="4" max="4" width="11.42578125" style="534" bestFit="1" customWidth="1"/>
    <col min="5" max="5" width="14.140625" style="534" customWidth="1"/>
    <col min="6" max="6" width="15.7109375" style="534" customWidth="1"/>
    <col min="7" max="7" width="14.140625" style="534" customWidth="1"/>
    <col min="8" max="8" width="15.7109375" style="534" customWidth="1"/>
    <col min="9" max="9" width="14.140625" style="534" customWidth="1"/>
    <col min="10" max="10" width="15.7109375" style="534" customWidth="1"/>
    <col min="11" max="11" width="16.28515625" style="508" customWidth="1"/>
    <col min="12" max="16384" width="9.140625" style="508"/>
  </cols>
  <sheetData>
    <row r="1" spans="1:11" ht="24.95" customHeight="1">
      <c r="A1" s="809" t="s">
        <v>1860</v>
      </c>
      <c r="B1" s="810"/>
      <c r="C1" s="810"/>
      <c r="D1" s="810"/>
      <c r="E1" s="810"/>
      <c r="F1" s="810"/>
      <c r="G1" s="810"/>
      <c r="H1" s="810"/>
      <c r="I1" s="810"/>
      <c r="J1" s="810"/>
      <c r="K1" s="811"/>
    </row>
    <row r="2" spans="1:11" ht="24.95" customHeight="1">
      <c r="A2" s="509" t="s">
        <v>905</v>
      </c>
      <c r="B2" s="510"/>
      <c r="C2" s="510"/>
      <c r="D2" s="510"/>
      <c r="E2" s="510"/>
      <c r="F2" s="510"/>
      <c r="G2" s="510"/>
      <c r="H2" s="510"/>
      <c r="I2" s="510"/>
      <c r="J2" s="510"/>
      <c r="K2" s="511" t="s">
        <v>921</v>
      </c>
    </row>
    <row r="3" spans="1:11" ht="37.5" customHeight="1">
      <c r="A3" s="812" t="s">
        <v>768</v>
      </c>
      <c r="B3" s="812" t="s">
        <v>1</v>
      </c>
      <c r="C3" s="812" t="s">
        <v>146</v>
      </c>
      <c r="D3" s="814" t="s">
        <v>148</v>
      </c>
      <c r="E3" s="816" t="s">
        <v>1898</v>
      </c>
      <c r="F3" s="817"/>
      <c r="G3" s="816" t="s">
        <v>1899</v>
      </c>
      <c r="H3" s="817"/>
      <c r="I3" s="816" t="s">
        <v>1900</v>
      </c>
      <c r="J3" s="817"/>
      <c r="K3" s="512" t="s">
        <v>910</v>
      </c>
    </row>
    <row r="4" spans="1:11" ht="30">
      <c r="A4" s="813"/>
      <c r="B4" s="813"/>
      <c r="C4" s="813"/>
      <c r="D4" s="815"/>
      <c r="E4" s="514" t="s">
        <v>770</v>
      </c>
      <c r="F4" s="515" t="s">
        <v>771</v>
      </c>
      <c r="G4" s="514" t="s">
        <v>770</v>
      </c>
      <c r="H4" s="515" t="s">
        <v>771</v>
      </c>
      <c r="I4" s="514" t="s">
        <v>770</v>
      </c>
      <c r="J4" s="515" t="s">
        <v>771</v>
      </c>
      <c r="K4" s="514" t="s">
        <v>770</v>
      </c>
    </row>
    <row r="5" spans="1:11">
      <c r="A5" s="512" t="s">
        <v>772</v>
      </c>
      <c r="B5" s="516" t="s">
        <v>139</v>
      </c>
      <c r="C5" s="512"/>
      <c r="D5" s="513"/>
      <c r="E5" s="514"/>
      <c r="F5" s="515"/>
      <c r="G5" s="514"/>
      <c r="H5" s="515"/>
      <c r="I5" s="514"/>
      <c r="J5" s="515"/>
      <c r="K5" s="512"/>
    </row>
    <row r="6" spans="1:11" ht="253.5" customHeight="1">
      <c r="A6" s="517">
        <v>1</v>
      </c>
      <c r="B6" s="518" t="s">
        <v>138</v>
      </c>
      <c r="C6" s="519"/>
      <c r="D6" s="250"/>
      <c r="E6" s="250"/>
      <c r="F6" s="250"/>
      <c r="G6" s="250"/>
      <c r="H6" s="520"/>
      <c r="I6" s="250"/>
      <c r="J6" s="520"/>
      <c r="K6" s="521"/>
    </row>
    <row r="7" spans="1:11" ht="126.75" customHeight="1">
      <c r="A7" s="517"/>
      <c r="B7" s="518" t="s">
        <v>137</v>
      </c>
      <c r="C7" s="519"/>
      <c r="D7" s="250"/>
      <c r="E7" s="250"/>
      <c r="F7" s="250"/>
      <c r="G7" s="250"/>
      <c r="H7" s="520"/>
      <c r="I7" s="250"/>
      <c r="J7" s="520"/>
      <c r="K7" s="521"/>
    </row>
    <row r="8" spans="1:11" ht="100.5" customHeight="1">
      <c r="A8" s="519"/>
      <c r="B8" s="518" t="s">
        <v>136</v>
      </c>
      <c r="C8" s="519" t="s">
        <v>9</v>
      </c>
      <c r="D8" s="250">
        <v>1</v>
      </c>
      <c r="E8" s="250">
        <v>150</v>
      </c>
      <c r="F8" s="250">
        <f>+D8*E8</f>
        <v>150</v>
      </c>
      <c r="G8" s="250">
        <v>95</v>
      </c>
      <c r="H8" s="520">
        <f>+D8*G8</f>
        <v>95</v>
      </c>
      <c r="I8" s="250">
        <v>85</v>
      </c>
      <c r="J8" s="520">
        <f>+D8*I8</f>
        <v>85</v>
      </c>
      <c r="K8" s="251">
        <f>MIN(E8,G8,I8)</f>
        <v>85</v>
      </c>
    </row>
    <row r="9" spans="1:11">
      <c r="A9" s="522" t="s">
        <v>922</v>
      </c>
      <c r="B9" s="523" t="s">
        <v>923</v>
      </c>
      <c r="C9" s="522"/>
      <c r="D9" s="524"/>
      <c r="E9" s="525"/>
      <c r="F9" s="526"/>
      <c r="G9" s="525"/>
      <c r="H9" s="526"/>
      <c r="I9" s="525"/>
      <c r="J9" s="526"/>
      <c r="K9" s="522"/>
    </row>
    <row r="10" spans="1:11" ht="255.75" customHeight="1">
      <c r="A10" s="517"/>
      <c r="B10" s="518" t="s">
        <v>530</v>
      </c>
      <c r="C10" s="519"/>
      <c r="D10" s="250"/>
      <c r="E10" s="250"/>
      <c r="F10" s="250"/>
      <c r="G10" s="250"/>
      <c r="H10" s="520"/>
      <c r="I10" s="250"/>
      <c r="J10" s="520"/>
      <c r="K10" s="521"/>
    </row>
    <row r="11" spans="1:11">
      <c r="A11" s="517">
        <v>1</v>
      </c>
      <c r="B11" s="518" t="s">
        <v>790</v>
      </c>
      <c r="C11" s="519" t="s">
        <v>9</v>
      </c>
      <c r="D11" s="250">
        <v>1</v>
      </c>
      <c r="E11" s="250">
        <v>1800</v>
      </c>
      <c r="F11" s="250">
        <f>+D11*E11</f>
        <v>1800</v>
      </c>
      <c r="G11" s="250">
        <v>1490</v>
      </c>
      <c r="H11" s="520">
        <f>+D11*G11</f>
        <v>1490</v>
      </c>
      <c r="I11" s="250">
        <v>1425</v>
      </c>
      <c r="J11" s="520">
        <f>+D11*I11</f>
        <v>1425</v>
      </c>
      <c r="K11" s="251">
        <f>MIN(E11,G11,I11)</f>
        <v>1425</v>
      </c>
    </row>
    <row r="12" spans="1:11">
      <c r="A12" s="519">
        <v>2</v>
      </c>
      <c r="B12" s="518" t="s">
        <v>791</v>
      </c>
      <c r="C12" s="519" t="s">
        <v>9</v>
      </c>
      <c r="D12" s="250">
        <v>1</v>
      </c>
      <c r="E12" s="250">
        <v>1400</v>
      </c>
      <c r="F12" s="250">
        <f>+D12*E12</f>
        <v>1400</v>
      </c>
      <c r="G12" s="250">
        <v>1320</v>
      </c>
      <c r="H12" s="520">
        <f>+D12*G12</f>
        <v>1320</v>
      </c>
      <c r="I12" s="250">
        <v>1275</v>
      </c>
      <c r="J12" s="520">
        <f>+D12*I12</f>
        <v>1275</v>
      </c>
      <c r="K12" s="251">
        <f>MIN(E12,G12,I12)</f>
        <v>1275</v>
      </c>
    </row>
    <row r="13" spans="1:11">
      <c r="A13" s="522" t="s">
        <v>924</v>
      </c>
      <c r="B13" s="523" t="s">
        <v>104</v>
      </c>
      <c r="C13" s="522"/>
      <c r="D13" s="524"/>
      <c r="E13" s="525"/>
      <c r="F13" s="526"/>
      <c r="G13" s="525"/>
      <c r="H13" s="526"/>
      <c r="I13" s="525"/>
      <c r="J13" s="526"/>
      <c r="K13" s="526"/>
    </row>
    <row r="14" spans="1:11" ht="301.5" customHeight="1">
      <c r="A14" s="517"/>
      <c r="B14" s="527" t="s">
        <v>560</v>
      </c>
      <c r="C14" s="528"/>
      <c r="D14" s="522"/>
      <c r="E14" s="528"/>
      <c r="F14" s="528"/>
      <c r="G14" s="250"/>
      <c r="H14" s="520"/>
      <c r="I14" s="250"/>
      <c r="J14" s="520"/>
      <c r="K14" s="520"/>
    </row>
    <row r="15" spans="1:11" ht="90">
      <c r="A15" s="517">
        <v>1</v>
      </c>
      <c r="B15" s="528" t="s">
        <v>513</v>
      </c>
      <c r="C15" s="527"/>
      <c r="D15" s="517"/>
      <c r="E15" s="527"/>
      <c r="F15" s="527"/>
      <c r="G15" s="527"/>
      <c r="H15" s="527"/>
      <c r="I15" s="527"/>
      <c r="J15" s="527"/>
      <c r="K15" s="527"/>
    </row>
    <row r="16" spans="1:11" ht="105">
      <c r="A16" s="527"/>
      <c r="B16" s="527" t="s">
        <v>786</v>
      </c>
      <c r="C16" s="527"/>
      <c r="D16" s="517"/>
      <c r="E16" s="527"/>
      <c r="F16" s="527"/>
      <c r="G16" s="527"/>
      <c r="H16" s="527"/>
      <c r="I16" s="527"/>
      <c r="J16" s="527"/>
      <c r="K16" s="527"/>
    </row>
    <row r="17" spans="1:11" ht="105">
      <c r="A17" s="527"/>
      <c r="B17" s="527" t="s">
        <v>103</v>
      </c>
      <c r="C17" s="517"/>
      <c r="D17" s="517"/>
      <c r="E17" s="527"/>
      <c r="F17" s="527"/>
      <c r="G17" s="527"/>
      <c r="H17" s="527"/>
      <c r="I17" s="527"/>
      <c r="J17" s="527"/>
      <c r="K17" s="527"/>
    </row>
    <row r="18" spans="1:11" ht="105">
      <c r="A18" s="527"/>
      <c r="B18" s="527" t="s">
        <v>94</v>
      </c>
      <c r="C18" s="517"/>
      <c r="D18" s="517"/>
      <c r="E18" s="527"/>
      <c r="F18" s="527"/>
      <c r="G18" s="527"/>
      <c r="H18" s="527"/>
      <c r="I18" s="527"/>
      <c r="J18" s="527"/>
      <c r="K18" s="527"/>
    </row>
    <row r="19" spans="1:11" ht="60">
      <c r="A19" s="527"/>
      <c r="B19" s="527" t="s">
        <v>102</v>
      </c>
      <c r="C19" s="517" t="s">
        <v>9</v>
      </c>
      <c r="D19" s="250">
        <v>1</v>
      </c>
      <c r="E19" s="250">
        <v>2900</v>
      </c>
      <c r="F19" s="250">
        <f>+D19*E19</f>
        <v>2900</v>
      </c>
      <c r="G19" s="250">
        <v>1050</v>
      </c>
      <c r="H19" s="520">
        <f>+D19*G19</f>
        <v>1050</v>
      </c>
      <c r="I19" s="250">
        <v>975</v>
      </c>
      <c r="J19" s="520">
        <f>+D19*I19</f>
        <v>975</v>
      </c>
      <c r="K19" s="251">
        <f>MIN(E19,G19,I19)</f>
        <v>975</v>
      </c>
    </row>
    <row r="20" spans="1:11" ht="90">
      <c r="A20" s="517">
        <v>2</v>
      </c>
      <c r="B20" s="528" t="s">
        <v>518</v>
      </c>
      <c r="C20" s="517"/>
      <c r="D20" s="517"/>
      <c r="E20" s="527"/>
      <c r="F20" s="527"/>
      <c r="G20" s="527"/>
      <c r="H20" s="527"/>
      <c r="I20" s="527"/>
      <c r="J20" s="527"/>
      <c r="K20" s="527"/>
    </row>
    <row r="21" spans="1:11" ht="75">
      <c r="A21" s="517"/>
      <c r="B21" s="529" t="s">
        <v>85</v>
      </c>
      <c r="C21" s="517"/>
      <c r="D21" s="517"/>
      <c r="E21" s="527"/>
      <c r="F21" s="527"/>
      <c r="G21" s="527"/>
      <c r="H21" s="527"/>
      <c r="I21" s="527"/>
      <c r="J21" s="527"/>
      <c r="K21" s="527"/>
    </row>
    <row r="22" spans="1:11" ht="75">
      <c r="A22" s="517"/>
      <c r="B22" s="529" t="s">
        <v>95</v>
      </c>
      <c r="C22" s="517"/>
      <c r="D22" s="517"/>
      <c r="E22" s="527"/>
      <c r="F22" s="527"/>
      <c r="G22" s="527"/>
      <c r="H22" s="527"/>
      <c r="I22" s="527"/>
      <c r="J22" s="527"/>
      <c r="K22" s="527"/>
    </row>
    <row r="23" spans="1:11" ht="105">
      <c r="A23" s="517"/>
      <c r="B23" s="529" t="s">
        <v>94</v>
      </c>
      <c r="C23" s="517"/>
      <c r="D23" s="517"/>
      <c r="E23" s="527"/>
      <c r="F23" s="527"/>
      <c r="G23" s="527"/>
      <c r="H23" s="527"/>
      <c r="I23" s="527"/>
      <c r="J23" s="527"/>
      <c r="K23" s="527"/>
    </row>
    <row r="24" spans="1:11" ht="60">
      <c r="A24" s="517"/>
      <c r="B24" s="529" t="s">
        <v>101</v>
      </c>
      <c r="C24" s="517"/>
      <c r="D24" s="517"/>
      <c r="E24" s="527"/>
      <c r="F24" s="527"/>
      <c r="G24" s="527"/>
      <c r="H24" s="527"/>
      <c r="I24" s="527"/>
      <c r="J24" s="527"/>
      <c r="K24" s="527"/>
    </row>
    <row r="25" spans="1:11" ht="120">
      <c r="A25" s="517"/>
      <c r="B25" s="529" t="s">
        <v>100</v>
      </c>
      <c r="C25" s="517"/>
      <c r="D25" s="517"/>
      <c r="E25" s="527"/>
      <c r="F25" s="527"/>
      <c r="G25" s="527"/>
      <c r="H25" s="527"/>
      <c r="I25" s="527"/>
      <c r="J25" s="527"/>
      <c r="K25" s="527"/>
    </row>
    <row r="26" spans="1:11" ht="165">
      <c r="A26" s="517"/>
      <c r="B26" s="529" t="s">
        <v>538</v>
      </c>
      <c r="C26" s="517" t="s">
        <v>9</v>
      </c>
      <c r="D26" s="250">
        <v>1</v>
      </c>
      <c r="E26" s="250">
        <v>2900</v>
      </c>
      <c r="F26" s="250">
        <f>+D26*E26</f>
        <v>2900</v>
      </c>
      <c r="G26" s="250">
        <v>1375</v>
      </c>
      <c r="H26" s="520">
        <f>+D26*G26</f>
        <v>1375</v>
      </c>
      <c r="I26" s="250">
        <v>1250</v>
      </c>
      <c r="J26" s="520">
        <f>+D26*I26</f>
        <v>1250</v>
      </c>
      <c r="K26" s="251">
        <f>MIN(E26,G26,I26)</f>
        <v>1250</v>
      </c>
    </row>
    <row r="27" spans="1:11" ht="60">
      <c r="A27" s="517">
        <v>3</v>
      </c>
      <c r="B27" s="528" t="s">
        <v>519</v>
      </c>
      <c r="C27" s="527"/>
      <c r="D27" s="517"/>
      <c r="E27" s="527"/>
      <c r="F27" s="527"/>
      <c r="G27" s="527"/>
      <c r="H27" s="527"/>
      <c r="I27" s="527"/>
      <c r="J27" s="527"/>
      <c r="K27" s="527"/>
    </row>
    <row r="28" spans="1:11" ht="90">
      <c r="A28" s="517"/>
      <c r="B28" s="527" t="s">
        <v>99</v>
      </c>
      <c r="C28" s="527"/>
      <c r="D28" s="517"/>
      <c r="E28" s="527"/>
      <c r="F28" s="527"/>
      <c r="G28" s="527"/>
      <c r="H28" s="527"/>
      <c r="I28" s="527"/>
      <c r="J28" s="527"/>
      <c r="K28" s="527"/>
    </row>
    <row r="29" spans="1:11" ht="165">
      <c r="A29" s="517"/>
      <c r="B29" s="527" t="s">
        <v>83</v>
      </c>
      <c r="C29" s="527"/>
      <c r="D29" s="517"/>
      <c r="E29" s="527"/>
      <c r="F29" s="527"/>
      <c r="G29" s="527"/>
      <c r="H29" s="527"/>
      <c r="I29" s="527"/>
      <c r="J29" s="527"/>
      <c r="K29" s="527"/>
    </row>
    <row r="30" spans="1:11" ht="150">
      <c r="A30" s="517"/>
      <c r="B30" s="527" t="s">
        <v>98</v>
      </c>
      <c r="C30" s="527"/>
      <c r="D30" s="517"/>
      <c r="E30" s="527"/>
      <c r="F30" s="527"/>
      <c r="G30" s="527"/>
      <c r="H30" s="527"/>
      <c r="I30" s="527"/>
      <c r="J30" s="527"/>
      <c r="K30" s="527"/>
    </row>
    <row r="31" spans="1:11" ht="75">
      <c r="A31" s="517"/>
      <c r="B31" s="527" t="s">
        <v>97</v>
      </c>
      <c r="C31" s="527"/>
      <c r="D31" s="517"/>
      <c r="E31" s="527"/>
      <c r="F31" s="527"/>
      <c r="G31" s="527"/>
      <c r="H31" s="527"/>
      <c r="I31" s="527"/>
      <c r="J31" s="527"/>
      <c r="K31" s="527"/>
    </row>
    <row r="32" spans="1:11" ht="75">
      <c r="A32" s="517"/>
      <c r="B32" s="527" t="s">
        <v>96</v>
      </c>
      <c r="C32" s="517" t="s">
        <v>9</v>
      </c>
      <c r="D32" s="250">
        <v>1</v>
      </c>
      <c r="E32" s="250">
        <v>1400</v>
      </c>
      <c r="F32" s="250">
        <f>+D32*E32</f>
        <v>1400</v>
      </c>
      <c r="G32" s="250">
        <v>1375</v>
      </c>
      <c r="H32" s="520">
        <f>+D32*G32</f>
        <v>1375</v>
      </c>
      <c r="I32" s="250">
        <v>1250</v>
      </c>
      <c r="J32" s="520">
        <f>+D32*I32</f>
        <v>1250</v>
      </c>
      <c r="K32" s="251">
        <f>MIN(E32,G32,I32)</f>
        <v>1250</v>
      </c>
    </row>
    <row r="33" spans="1:11" ht="180">
      <c r="A33" s="517">
        <v>4</v>
      </c>
      <c r="B33" s="527" t="s">
        <v>925</v>
      </c>
      <c r="C33" s="517" t="s">
        <v>51</v>
      </c>
      <c r="D33" s="250">
        <v>1</v>
      </c>
      <c r="E33" s="250">
        <v>1500</v>
      </c>
      <c r="F33" s="250">
        <f>+D33*E33</f>
        <v>1500</v>
      </c>
      <c r="G33" s="250">
        <v>575</v>
      </c>
      <c r="H33" s="520">
        <f>+D33*G33</f>
        <v>575</v>
      </c>
      <c r="I33" s="250">
        <v>450</v>
      </c>
      <c r="J33" s="520">
        <f>+D33*I33</f>
        <v>450</v>
      </c>
      <c r="K33" s="251">
        <f>MIN(E33,G33,I33)</f>
        <v>450</v>
      </c>
    </row>
    <row r="34" spans="1:11" ht="292.5" customHeight="1">
      <c r="A34" s="517">
        <v>5</v>
      </c>
      <c r="B34" s="527" t="s">
        <v>926</v>
      </c>
      <c r="C34" s="517" t="s">
        <v>52</v>
      </c>
      <c r="D34" s="250">
        <v>1</v>
      </c>
      <c r="E34" s="250">
        <v>6300</v>
      </c>
      <c r="F34" s="250">
        <f>+D34*E34</f>
        <v>6300</v>
      </c>
      <c r="G34" s="250">
        <v>20500</v>
      </c>
      <c r="H34" s="520">
        <f>+D34*G34</f>
        <v>20500</v>
      </c>
      <c r="I34" s="250">
        <v>16500</v>
      </c>
      <c r="J34" s="520">
        <f>+D34*I34</f>
        <v>16500</v>
      </c>
      <c r="K34" s="251">
        <f>MIN(E34,G34,I34)</f>
        <v>6300</v>
      </c>
    </row>
    <row r="35" spans="1:11" ht="60">
      <c r="A35" s="517">
        <v>6</v>
      </c>
      <c r="B35" s="528" t="s">
        <v>92</v>
      </c>
      <c r="C35" s="527"/>
      <c r="D35" s="517"/>
      <c r="E35" s="527"/>
      <c r="F35" s="527"/>
      <c r="G35" s="527"/>
      <c r="H35" s="527"/>
      <c r="I35" s="527"/>
      <c r="J35" s="527"/>
      <c r="K35" s="527"/>
    </row>
    <row r="36" spans="1:11" ht="105">
      <c r="A36" s="517"/>
      <c r="B36" s="527" t="s">
        <v>91</v>
      </c>
      <c r="C36" s="527"/>
      <c r="D36" s="517"/>
      <c r="E36" s="527"/>
      <c r="F36" s="527"/>
      <c r="G36" s="527"/>
      <c r="H36" s="527"/>
      <c r="I36" s="527"/>
      <c r="J36" s="527"/>
      <c r="K36" s="527"/>
    </row>
    <row r="37" spans="1:11" ht="105">
      <c r="A37" s="517"/>
      <c r="B37" s="527" t="s">
        <v>90</v>
      </c>
      <c r="C37" s="527"/>
      <c r="D37" s="517"/>
      <c r="E37" s="527"/>
      <c r="F37" s="527"/>
      <c r="G37" s="527"/>
      <c r="H37" s="527"/>
      <c r="I37" s="527"/>
      <c r="J37" s="527"/>
      <c r="K37" s="527"/>
    </row>
    <row r="38" spans="1:11" ht="60">
      <c r="A38" s="517"/>
      <c r="B38" s="527" t="s">
        <v>89</v>
      </c>
      <c r="C38" s="527"/>
      <c r="D38" s="517"/>
      <c r="E38" s="527"/>
      <c r="F38" s="527"/>
      <c r="G38" s="527"/>
      <c r="H38" s="527"/>
      <c r="I38" s="527"/>
      <c r="J38" s="527"/>
      <c r="K38" s="527"/>
    </row>
    <row r="39" spans="1:11" ht="90">
      <c r="A39" s="517"/>
      <c r="B39" s="527" t="s">
        <v>927</v>
      </c>
      <c r="C39" s="517" t="s">
        <v>9</v>
      </c>
      <c r="D39" s="250">
        <v>1</v>
      </c>
      <c r="E39" s="250">
        <v>2900</v>
      </c>
      <c r="F39" s="250">
        <f>+D39*E39</f>
        <v>2900</v>
      </c>
      <c r="G39" s="250">
        <v>1050</v>
      </c>
      <c r="H39" s="520">
        <f>+D39*G39</f>
        <v>1050</v>
      </c>
      <c r="I39" s="250">
        <v>975</v>
      </c>
      <c r="J39" s="520">
        <f>+D39*I39</f>
        <v>975</v>
      </c>
      <c r="K39" s="251">
        <f>MIN(E39,G39,I39)</f>
        <v>975</v>
      </c>
    </row>
    <row r="40" spans="1:11" ht="75">
      <c r="A40" s="517">
        <v>7</v>
      </c>
      <c r="B40" s="528" t="s">
        <v>512</v>
      </c>
      <c r="C40" s="527"/>
      <c r="D40" s="517"/>
      <c r="E40" s="527"/>
      <c r="F40" s="527"/>
      <c r="G40" s="527"/>
      <c r="H40" s="527"/>
      <c r="I40" s="527"/>
      <c r="J40" s="527"/>
      <c r="K40" s="527"/>
    </row>
    <row r="41" spans="1:11" ht="75">
      <c r="A41" s="517"/>
      <c r="B41" s="527" t="s">
        <v>87</v>
      </c>
      <c r="C41" s="527"/>
      <c r="D41" s="517"/>
      <c r="E41" s="527"/>
      <c r="F41" s="527"/>
      <c r="G41" s="527"/>
      <c r="H41" s="527"/>
      <c r="I41" s="527"/>
      <c r="J41" s="527"/>
      <c r="K41" s="527"/>
    </row>
    <row r="42" spans="1:11" ht="135">
      <c r="A42" s="517"/>
      <c r="B42" s="527" t="s">
        <v>86</v>
      </c>
      <c r="C42" s="527"/>
      <c r="D42" s="517"/>
      <c r="E42" s="527"/>
      <c r="F42" s="527"/>
      <c r="G42" s="527"/>
      <c r="H42" s="527"/>
      <c r="I42" s="527"/>
      <c r="J42" s="527"/>
      <c r="K42" s="527"/>
    </row>
    <row r="43" spans="1:11" ht="60">
      <c r="A43" s="517"/>
      <c r="B43" s="527" t="s">
        <v>543</v>
      </c>
      <c r="C43" s="527"/>
      <c r="D43" s="517"/>
      <c r="E43" s="527"/>
      <c r="F43" s="527"/>
      <c r="G43" s="527"/>
      <c r="H43" s="527"/>
      <c r="I43" s="527"/>
      <c r="J43" s="527"/>
      <c r="K43" s="527"/>
    </row>
    <row r="44" spans="1:11" ht="90">
      <c r="A44" s="517"/>
      <c r="B44" s="527" t="s">
        <v>928</v>
      </c>
      <c r="C44" s="517" t="s">
        <v>9</v>
      </c>
      <c r="D44" s="250">
        <v>1</v>
      </c>
      <c r="E44" s="250">
        <v>2900</v>
      </c>
      <c r="F44" s="250">
        <f>+D44*E44</f>
        <v>2900</v>
      </c>
      <c r="G44" s="250">
        <v>1050</v>
      </c>
      <c r="H44" s="520">
        <f>+D44*G44</f>
        <v>1050</v>
      </c>
      <c r="I44" s="250">
        <v>975</v>
      </c>
      <c r="J44" s="520">
        <f>+D44*I44</f>
        <v>975</v>
      </c>
      <c r="K44" s="251">
        <f>MIN(E44,G44,I44)</f>
        <v>975</v>
      </c>
    </row>
    <row r="45" spans="1:11">
      <c r="A45" s="522" t="s">
        <v>929</v>
      </c>
      <c r="B45" s="523" t="s">
        <v>930</v>
      </c>
      <c r="C45" s="522"/>
      <c r="D45" s="524"/>
      <c r="E45" s="525"/>
      <c r="F45" s="526"/>
      <c r="G45" s="525"/>
      <c r="H45" s="526"/>
      <c r="I45" s="525"/>
      <c r="J45" s="526"/>
      <c r="K45" s="526"/>
    </row>
    <row r="46" spans="1:11" ht="45">
      <c r="A46" s="517">
        <v>8</v>
      </c>
      <c r="B46" s="527" t="s">
        <v>931</v>
      </c>
      <c r="C46" s="527"/>
      <c r="D46" s="517"/>
      <c r="E46" s="527"/>
      <c r="F46" s="527"/>
      <c r="G46" s="527"/>
      <c r="H46" s="527"/>
      <c r="I46" s="527"/>
      <c r="J46" s="527"/>
      <c r="K46" s="527"/>
    </row>
    <row r="47" spans="1:11" ht="75">
      <c r="A47" s="517"/>
      <c r="B47" s="527" t="s">
        <v>84</v>
      </c>
      <c r="C47" s="527"/>
      <c r="D47" s="517"/>
      <c r="E47" s="527"/>
      <c r="F47" s="527"/>
      <c r="G47" s="527"/>
      <c r="H47" s="527"/>
      <c r="I47" s="527"/>
      <c r="J47" s="527"/>
      <c r="K47" s="527"/>
    </row>
    <row r="48" spans="1:11" ht="165">
      <c r="A48" s="517"/>
      <c r="B48" s="527" t="s">
        <v>83</v>
      </c>
      <c r="C48" s="527"/>
      <c r="D48" s="517"/>
      <c r="E48" s="527"/>
      <c r="F48" s="527"/>
      <c r="G48" s="527"/>
      <c r="H48" s="527"/>
      <c r="I48" s="527"/>
      <c r="J48" s="527"/>
      <c r="K48" s="527"/>
    </row>
    <row r="49" spans="1:14" ht="135">
      <c r="A49" s="517"/>
      <c r="B49" s="527" t="s">
        <v>82</v>
      </c>
      <c r="C49" s="527"/>
      <c r="D49" s="517"/>
      <c r="E49" s="527"/>
      <c r="F49" s="527"/>
      <c r="G49" s="527"/>
      <c r="H49" s="527"/>
      <c r="I49" s="527"/>
      <c r="J49" s="527"/>
      <c r="K49" s="527"/>
    </row>
    <row r="50" spans="1:14" ht="165">
      <c r="A50" s="517"/>
      <c r="B50" s="527" t="s">
        <v>81</v>
      </c>
      <c r="C50" s="527"/>
      <c r="D50" s="517"/>
      <c r="E50" s="527"/>
      <c r="F50" s="527"/>
      <c r="G50" s="527"/>
      <c r="H50" s="527"/>
      <c r="I50" s="527"/>
      <c r="J50" s="527"/>
      <c r="K50" s="527"/>
      <c r="N50" s="530"/>
    </row>
    <row r="51" spans="1:14" ht="150">
      <c r="A51" s="517"/>
      <c r="B51" s="527" t="s">
        <v>80</v>
      </c>
      <c r="C51" s="527"/>
      <c r="D51" s="517"/>
      <c r="E51" s="527"/>
      <c r="F51" s="527"/>
      <c r="G51" s="527"/>
      <c r="H51" s="527"/>
      <c r="I51" s="527"/>
      <c r="J51" s="527"/>
      <c r="K51" s="527"/>
    </row>
    <row r="52" spans="1:14" ht="240">
      <c r="A52" s="517"/>
      <c r="B52" s="527" t="s">
        <v>79</v>
      </c>
      <c r="C52" s="517" t="s">
        <v>9</v>
      </c>
      <c r="D52" s="250">
        <v>1</v>
      </c>
      <c r="E52" s="250">
        <v>4250</v>
      </c>
      <c r="F52" s="250">
        <f>+D52*E52</f>
        <v>4250</v>
      </c>
      <c r="G52" s="250">
        <v>2380</v>
      </c>
      <c r="H52" s="520">
        <f>+D52*G52</f>
        <v>2380</v>
      </c>
      <c r="I52" s="250">
        <v>2250</v>
      </c>
      <c r="J52" s="520">
        <f>+D52*I52</f>
        <v>2250</v>
      </c>
      <c r="K52" s="251">
        <f>MIN(E52,G52,I52)</f>
        <v>2250</v>
      </c>
    </row>
    <row r="53" spans="1:14">
      <c r="A53" s="519"/>
      <c r="B53" s="518"/>
      <c r="C53" s="519"/>
      <c r="D53" s="520"/>
      <c r="E53" s="250"/>
      <c r="F53" s="250"/>
      <c r="G53" s="250"/>
      <c r="H53" s="520"/>
      <c r="I53" s="250"/>
      <c r="J53" s="520"/>
      <c r="K53" s="520"/>
    </row>
    <row r="54" spans="1:14">
      <c r="A54" s="522" t="s">
        <v>932</v>
      </c>
      <c r="B54" s="523" t="s">
        <v>113</v>
      </c>
      <c r="C54" s="522"/>
      <c r="D54" s="524"/>
      <c r="E54" s="525"/>
      <c r="F54" s="526"/>
      <c r="G54" s="525"/>
      <c r="H54" s="526"/>
      <c r="I54" s="525"/>
      <c r="J54" s="526"/>
      <c r="K54" s="522"/>
    </row>
    <row r="55" spans="1:14" ht="90">
      <c r="A55" s="519">
        <v>1</v>
      </c>
      <c r="B55" s="518" t="s">
        <v>933</v>
      </c>
      <c r="C55" s="519"/>
      <c r="D55" s="250"/>
      <c r="E55" s="250"/>
      <c r="F55" s="250"/>
      <c r="G55" s="250"/>
      <c r="H55" s="520"/>
      <c r="I55" s="250"/>
      <c r="J55" s="520"/>
      <c r="K55" s="521"/>
    </row>
    <row r="56" spans="1:14" ht="120">
      <c r="A56" s="519"/>
      <c r="B56" s="518" t="s">
        <v>934</v>
      </c>
      <c r="C56" s="519"/>
      <c r="D56" s="250"/>
      <c r="E56" s="250"/>
      <c r="F56" s="250"/>
      <c r="G56" s="250"/>
      <c r="H56" s="520"/>
      <c r="I56" s="250"/>
      <c r="J56" s="520"/>
      <c r="K56" s="521"/>
    </row>
    <row r="57" spans="1:14" ht="330">
      <c r="A57" s="519"/>
      <c r="B57" s="518" t="s">
        <v>935</v>
      </c>
      <c r="C57" s="519" t="s">
        <v>9</v>
      </c>
      <c r="D57" s="250">
        <v>1</v>
      </c>
      <c r="E57" s="250">
        <v>2950</v>
      </c>
      <c r="F57" s="250">
        <f>+D57*E57</f>
        <v>2950</v>
      </c>
      <c r="G57" s="250">
        <v>3750</v>
      </c>
      <c r="H57" s="520">
        <f>+D57*G57</f>
        <v>3750</v>
      </c>
      <c r="I57" s="250">
        <v>3555</v>
      </c>
      <c r="J57" s="520">
        <f>+D57*I57</f>
        <v>3555</v>
      </c>
      <c r="K57" s="251">
        <f>MIN(E57,G57,I57)</f>
        <v>2950</v>
      </c>
    </row>
    <row r="58" spans="1:14" ht="255">
      <c r="A58" s="519">
        <v>2</v>
      </c>
      <c r="B58" s="518" t="s">
        <v>936</v>
      </c>
      <c r="C58" s="519" t="s">
        <v>9</v>
      </c>
      <c r="D58" s="250">
        <v>1</v>
      </c>
      <c r="E58" s="250">
        <v>2250</v>
      </c>
      <c r="F58" s="250">
        <f>+D58*E58</f>
        <v>2250</v>
      </c>
      <c r="G58" s="250">
        <v>1550</v>
      </c>
      <c r="H58" s="520">
        <f>+D58*G58</f>
        <v>1550</v>
      </c>
      <c r="I58" s="250">
        <v>1480</v>
      </c>
      <c r="J58" s="520">
        <f>+D58*I58</f>
        <v>1480</v>
      </c>
      <c r="K58" s="251">
        <f>MIN(E58,G58,I58)</f>
        <v>1480</v>
      </c>
    </row>
    <row r="59" spans="1:14" ht="344.25" customHeight="1">
      <c r="A59" s="517">
        <v>3</v>
      </c>
      <c r="B59" s="518" t="s">
        <v>937</v>
      </c>
      <c r="C59" s="519" t="s">
        <v>9</v>
      </c>
      <c r="D59" s="250">
        <v>1</v>
      </c>
      <c r="E59" s="250">
        <v>2500</v>
      </c>
      <c r="F59" s="250">
        <f>+D59*E59</f>
        <v>2500</v>
      </c>
      <c r="G59" s="250">
        <v>1935</v>
      </c>
      <c r="H59" s="520">
        <f>+D59*G59</f>
        <v>1935</v>
      </c>
      <c r="I59" s="250">
        <v>1850</v>
      </c>
      <c r="J59" s="520">
        <f>+D59*I59</f>
        <v>1850</v>
      </c>
      <c r="K59" s="251">
        <f>MIN(E59,G59,I59)</f>
        <v>1850</v>
      </c>
    </row>
    <row r="60" spans="1:14" ht="225">
      <c r="A60" s="517"/>
      <c r="B60" s="518" t="s">
        <v>938</v>
      </c>
      <c r="C60" s="519" t="s">
        <v>9</v>
      </c>
      <c r="D60" s="250">
        <v>1</v>
      </c>
      <c r="E60" s="250">
        <v>1950</v>
      </c>
      <c r="F60" s="250">
        <f>+D60*E60</f>
        <v>1950</v>
      </c>
      <c r="G60" s="250">
        <v>1625</v>
      </c>
      <c r="H60" s="520">
        <f>+D60*G60</f>
        <v>1625</v>
      </c>
      <c r="I60" s="250">
        <v>1550</v>
      </c>
      <c r="J60" s="520">
        <f>+D60*I60</f>
        <v>1550</v>
      </c>
      <c r="K60" s="251">
        <f>MIN(E60,G60,I60)</f>
        <v>1550</v>
      </c>
    </row>
    <row r="61" spans="1:14" ht="225">
      <c r="A61" s="519">
        <v>4</v>
      </c>
      <c r="B61" s="518" t="s">
        <v>939</v>
      </c>
      <c r="C61" s="519" t="s">
        <v>9</v>
      </c>
      <c r="D61" s="250">
        <v>1</v>
      </c>
      <c r="E61" s="250">
        <v>2175</v>
      </c>
      <c r="F61" s="250">
        <f>+D61*E61</f>
        <v>2175</v>
      </c>
      <c r="G61" s="250">
        <v>1625</v>
      </c>
      <c r="H61" s="520">
        <f>+D61*G61</f>
        <v>1625</v>
      </c>
      <c r="I61" s="250">
        <v>1550</v>
      </c>
      <c r="J61" s="520">
        <f>+D61*I61</f>
        <v>1550</v>
      </c>
      <c r="K61" s="250">
        <f>MIN(E61,G61,I61)</f>
        <v>1550</v>
      </c>
    </row>
    <row r="62" spans="1:14">
      <c r="A62" s="522" t="s">
        <v>940</v>
      </c>
      <c r="B62" s="523" t="s">
        <v>941</v>
      </c>
      <c r="C62" s="522"/>
      <c r="D62" s="524"/>
      <c r="E62" s="525"/>
      <c r="F62" s="526"/>
      <c r="G62" s="525"/>
      <c r="H62" s="526"/>
      <c r="I62" s="525"/>
      <c r="J62" s="526"/>
      <c r="K62" s="522"/>
    </row>
    <row r="63" spans="1:14" ht="300">
      <c r="A63" s="517">
        <v>5</v>
      </c>
      <c r="B63" s="518" t="s">
        <v>942</v>
      </c>
      <c r="C63" s="519" t="s">
        <v>9</v>
      </c>
      <c r="D63" s="250">
        <v>1</v>
      </c>
      <c r="E63" s="250">
        <v>2450</v>
      </c>
      <c r="F63" s="250">
        <f>+D63*E63</f>
        <v>2450</v>
      </c>
      <c r="G63" s="250">
        <v>1550</v>
      </c>
      <c r="H63" s="520">
        <f>+D63*G63</f>
        <v>1550</v>
      </c>
      <c r="I63" s="250">
        <v>1550</v>
      </c>
      <c r="J63" s="520">
        <f>+D63*I63</f>
        <v>1550</v>
      </c>
      <c r="K63" s="251">
        <f>MIN(E63,G63,I63)</f>
        <v>1550</v>
      </c>
    </row>
    <row r="64" spans="1:14" ht="285">
      <c r="A64" s="517">
        <v>6</v>
      </c>
      <c r="B64" s="518" t="s">
        <v>943</v>
      </c>
      <c r="C64" s="519" t="s">
        <v>9</v>
      </c>
      <c r="D64" s="250">
        <v>1</v>
      </c>
      <c r="E64" s="250">
        <v>2200</v>
      </c>
      <c r="F64" s="250">
        <f>+D64*E64</f>
        <v>2200</v>
      </c>
      <c r="G64" s="250">
        <v>1550</v>
      </c>
      <c r="H64" s="520">
        <f>+D64*G64</f>
        <v>1550</v>
      </c>
      <c r="I64" s="250">
        <v>1550</v>
      </c>
      <c r="J64" s="520">
        <f>+D64*I64</f>
        <v>1550</v>
      </c>
      <c r="K64" s="251">
        <f>MIN(E64,G64,I64)</f>
        <v>1550</v>
      </c>
    </row>
    <row r="65" spans="1:11" ht="330">
      <c r="A65" s="517">
        <v>7</v>
      </c>
      <c r="B65" s="518" t="s">
        <v>567</v>
      </c>
      <c r="C65" s="519" t="s">
        <v>9</v>
      </c>
      <c r="D65" s="250">
        <v>1</v>
      </c>
      <c r="E65" s="250">
        <v>2100</v>
      </c>
      <c r="F65" s="250">
        <f>+D65*E65</f>
        <v>2100</v>
      </c>
      <c r="G65" s="250">
        <v>1950</v>
      </c>
      <c r="H65" s="520">
        <f>+D65*G65</f>
        <v>1950</v>
      </c>
      <c r="I65" s="250">
        <v>1850</v>
      </c>
      <c r="J65" s="520">
        <f>+D65*I65</f>
        <v>1850</v>
      </c>
      <c r="K65" s="251">
        <f>MIN(E65,G65,I65)</f>
        <v>1850</v>
      </c>
    </row>
    <row r="66" spans="1:11">
      <c r="A66" s="522" t="s">
        <v>944</v>
      </c>
      <c r="B66" s="523" t="s">
        <v>111</v>
      </c>
      <c r="C66" s="522"/>
      <c r="D66" s="524"/>
      <c r="E66" s="525"/>
      <c r="F66" s="526"/>
      <c r="G66" s="525"/>
      <c r="H66" s="526"/>
      <c r="I66" s="525"/>
      <c r="J66" s="526"/>
      <c r="K66" s="522"/>
    </row>
    <row r="67" spans="1:11" ht="90">
      <c r="A67" s="517">
        <v>1</v>
      </c>
      <c r="B67" s="518" t="s">
        <v>945</v>
      </c>
      <c r="C67" s="519" t="s">
        <v>9</v>
      </c>
      <c r="D67" s="250">
        <v>1</v>
      </c>
      <c r="E67" s="250">
        <v>425</v>
      </c>
      <c r="F67" s="250">
        <f>+D67*E67</f>
        <v>425</v>
      </c>
      <c r="G67" s="250">
        <v>475</v>
      </c>
      <c r="H67" s="520">
        <f>+D67*G67</f>
        <v>475</v>
      </c>
      <c r="I67" s="250">
        <v>420</v>
      </c>
      <c r="J67" s="520">
        <f>+D67*I67</f>
        <v>420</v>
      </c>
      <c r="K67" s="251">
        <f>MIN(E67,G67,I67)</f>
        <v>420</v>
      </c>
    </row>
    <row r="68" spans="1:11" ht="150">
      <c r="A68" s="517">
        <v>2</v>
      </c>
      <c r="B68" s="518" t="s">
        <v>946</v>
      </c>
      <c r="C68" s="519" t="s">
        <v>33</v>
      </c>
      <c r="D68" s="250">
        <v>1</v>
      </c>
      <c r="E68" s="250">
        <v>400</v>
      </c>
      <c r="F68" s="250">
        <f>+D68*E68</f>
        <v>400</v>
      </c>
      <c r="G68" s="250">
        <v>650</v>
      </c>
      <c r="H68" s="520">
        <f>+D68*G68</f>
        <v>650</v>
      </c>
      <c r="I68" s="250">
        <v>650</v>
      </c>
      <c r="J68" s="520">
        <f>+D68*I68</f>
        <v>650</v>
      </c>
      <c r="K68" s="251">
        <f>MIN(E68,G68,I68)</f>
        <v>400</v>
      </c>
    </row>
    <row r="69" spans="1:11">
      <c r="A69" s="522" t="s">
        <v>947</v>
      </c>
      <c r="B69" s="523" t="s">
        <v>948</v>
      </c>
      <c r="C69" s="522"/>
      <c r="D69" s="524"/>
      <c r="E69" s="525"/>
      <c r="F69" s="526"/>
      <c r="G69" s="525"/>
      <c r="H69" s="526"/>
      <c r="I69" s="525"/>
      <c r="J69" s="526"/>
      <c r="K69" s="522"/>
    </row>
    <row r="70" spans="1:11" ht="165">
      <c r="A70" s="517" t="s">
        <v>71</v>
      </c>
      <c r="B70" s="518" t="s">
        <v>949</v>
      </c>
      <c r="C70" s="519" t="s">
        <v>9</v>
      </c>
      <c r="D70" s="250">
        <v>1</v>
      </c>
      <c r="E70" s="250">
        <v>300</v>
      </c>
      <c r="F70" s="250">
        <f>+D70*E70</f>
        <v>300</v>
      </c>
      <c r="G70" s="250">
        <v>235</v>
      </c>
      <c r="H70" s="520">
        <f>+D70*G70</f>
        <v>235</v>
      </c>
      <c r="I70" s="250">
        <v>215</v>
      </c>
      <c r="J70" s="520">
        <f>+D70*I70</f>
        <v>215</v>
      </c>
      <c r="K70" s="251">
        <f>MIN(E70,G70,I70)</f>
        <v>215</v>
      </c>
    </row>
    <row r="71" spans="1:11" ht="30">
      <c r="A71" s="519" t="s">
        <v>70</v>
      </c>
      <c r="B71" s="518" t="s">
        <v>521</v>
      </c>
      <c r="C71" s="519" t="s">
        <v>9</v>
      </c>
      <c r="D71" s="250">
        <v>1</v>
      </c>
      <c r="E71" s="250">
        <v>250</v>
      </c>
      <c r="F71" s="250">
        <f>+D71*E71</f>
        <v>250</v>
      </c>
      <c r="G71" s="250">
        <v>215</v>
      </c>
      <c r="H71" s="520">
        <f>+D71*G71</f>
        <v>215</v>
      </c>
      <c r="I71" s="250">
        <v>195</v>
      </c>
      <c r="J71" s="520">
        <f>+D71*I71</f>
        <v>195</v>
      </c>
      <c r="K71" s="251">
        <f>MIN(E71,G71,I71)</f>
        <v>195</v>
      </c>
    </row>
    <row r="72" spans="1:11">
      <c r="A72" s="519"/>
      <c r="B72" s="518"/>
      <c r="C72" s="519"/>
      <c r="D72" s="250"/>
      <c r="E72" s="250"/>
      <c r="F72" s="250"/>
      <c r="G72" s="250"/>
      <c r="H72" s="520"/>
      <c r="I72" s="250"/>
      <c r="J72" s="520"/>
      <c r="K72" s="521"/>
    </row>
    <row r="73" spans="1:11">
      <c r="A73" s="522" t="s">
        <v>63</v>
      </c>
      <c r="B73" s="523" t="s">
        <v>950</v>
      </c>
      <c r="C73" s="522"/>
      <c r="D73" s="524"/>
      <c r="E73" s="525"/>
      <c r="F73" s="526"/>
      <c r="G73" s="525"/>
      <c r="H73" s="526"/>
      <c r="I73" s="525"/>
      <c r="J73" s="526"/>
      <c r="K73" s="522"/>
    </row>
    <row r="74" spans="1:11" ht="300">
      <c r="A74" s="517" t="s">
        <v>71</v>
      </c>
      <c r="B74" s="518" t="s">
        <v>951</v>
      </c>
      <c r="C74" s="519"/>
      <c r="D74" s="250"/>
      <c r="E74" s="250"/>
      <c r="F74" s="250"/>
      <c r="G74" s="250"/>
      <c r="H74" s="520"/>
      <c r="I74" s="250"/>
      <c r="J74" s="520"/>
      <c r="K74" s="521"/>
    </row>
    <row r="75" spans="1:11" ht="180">
      <c r="A75" s="517"/>
      <c r="B75" s="518" t="s">
        <v>733</v>
      </c>
      <c r="C75" s="519"/>
      <c r="D75" s="250"/>
      <c r="E75" s="250"/>
      <c r="F75" s="250"/>
      <c r="G75" s="250"/>
      <c r="H75" s="520"/>
      <c r="I75" s="250"/>
      <c r="J75" s="520"/>
      <c r="K75" s="521"/>
    </row>
    <row r="76" spans="1:11" ht="165">
      <c r="A76" s="517"/>
      <c r="B76" s="518" t="s">
        <v>731</v>
      </c>
      <c r="C76" s="519"/>
      <c r="D76" s="250"/>
      <c r="E76" s="250"/>
      <c r="F76" s="250"/>
      <c r="G76" s="250"/>
      <c r="H76" s="520"/>
      <c r="I76" s="250"/>
      <c r="J76" s="520"/>
      <c r="K76" s="521"/>
    </row>
    <row r="77" spans="1:11" ht="135">
      <c r="A77" s="519"/>
      <c r="B77" s="518" t="s">
        <v>732</v>
      </c>
      <c r="C77" s="519" t="s">
        <v>9</v>
      </c>
      <c r="D77" s="250">
        <v>1</v>
      </c>
      <c r="E77" s="250">
        <v>1400</v>
      </c>
      <c r="F77" s="250">
        <f>+D77*E77</f>
        <v>1400</v>
      </c>
      <c r="G77" s="250">
        <v>2250</v>
      </c>
      <c r="H77" s="520">
        <f>+D77*G77</f>
        <v>2250</v>
      </c>
      <c r="I77" s="250">
        <v>2215</v>
      </c>
      <c r="J77" s="520">
        <f>+D77*I77</f>
        <v>2215</v>
      </c>
      <c r="K77" s="251">
        <f>MIN(E77,G77,I77)</f>
        <v>1400</v>
      </c>
    </row>
    <row r="78" spans="1:11" ht="318.75" customHeight="1">
      <c r="A78" s="531" t="s">
        <v>1572</v>
      </c>
      <c r="B78" s="518" t="s">
        <v>1573</v>
      </c>
      <c r="C78" s="519" t="s">
        <v>9</v>
      </c>
      <c r="D78" s="250">
        <v>1</v>
      </c>
      <c r="E78" s="250">
        <v>2690</v>
      </c>
      <c r="F78" s="250">
        <f>+D78*E78</f>
        <v>2690</v>
      </c>
      <c r="G78" s="250">
        <v>1045</v>
      </c>
      <c r="H78" s="520">
        <f>+D78*G78</f>
        <v>1045</v>
      </c>
      <c r="I78" s="250">
        <v>950</v>
      </c>
      <c r="J78" s="520">
        <f>+D78*I78</f>
        <v>950</v>
      </c>
      <c r="K78" s="251">
        <f>MIN(E78,G78,I78)</f>
        <v>950</v>
      </c>
    </row>
    <row r="79" spans="1:11" ht="255.75" customHeight="1">
      <c r="A79" s="531" t="s">
        <v>1574</v>
      </c>
      <c r="B79" s="518" t="s">
        <v>1575</v>
      </c>
      <c r="C79" s="519"/>
      <c r="D79" s="250">
        <v>1</v>
      </c>
      <c r="E79" s="250">
        <v>2440</v>
      </c>
      <c r="F79" s="250">
        <f>+D79*E79</f>
        <v>2440</v>
      </c>
      <c r="G79" s="250">
        <v>1485</v>
      </c>
      <c r="H79" s="520">
        <f>+D79*G79</f>
        <v>1485</v>
      </c>
      <c r="I79" s="250">
        <v>1350</v>
      </c>
      <c r="J79" s="520">
        <f>+D79*I79</f>
        <v>1350</v>
      </c>
      <c r="K79" s="251">
        <f>MIN(E79,G79,I79)</f>
        <v>1350</v>
      </c>
    </row>
    <row r="80" spans="1:11" ht="242.25" customHeight="1">
      <c r="A80" s="531" t="s">
        <v>1576</v>
      </c>
      <c r="B80" s="518" t="s">
        <v>1577</v>
      </c>
      <c r="C80" s="519"/>
      <c r="D80" s="250">
        <v>1</v>
      </c>
      <c r="E80" s="250">
        <v>2220</v>
      </c>
      <c r="F80" s="250">
        <f>+D80*E80</f>
        <v>2220</v>
      </c>
      <c r="G80" s="250">
        <v>2145</v>
      </c>
      <c r="H80" s="520">
        <f>+D80*G80</f>
        <v>2145</v>
      </c>
      <c r="I80" s="250">
        <v>1950</v>
      </c>
      <c r="J80" s="520">
        <f>+D80*I80</f>
        <v>1950</v>
      </c>
      <c r="K80" s="251">
        <f>MIN(E80,G80,I80)</f>
        <v>1950</v>
      </c>
    </row>
  </sheetData>
  <mergeCells count="8">
    <mergeCell ref="A1:K1"/>
    <mergeCell ref="A3:A4"/>
    <mergeCell ref="B3:B4"/>
    <mergeCell ref="C3:C4"/>
    <mergeCell ref="D3:D4"/>
    <mergeCell ref="E3:F3"/>
    <mergeCell ref="G3:H3"/>
    <mergeCell ref="I3:J3"/>
  </mergeCells>
  <printOptions horizontalCentered="1"/>
  <pageMargins left="0.59661417322834998" right="0.39500000000000002" top="0.74803149606299202" bottom="0.74803149606299202" header="0.31496062992126" footer="0.31496062992126"/>
  <pageSetup paperSize="9" scale="70" orientation="landscape" r:id="rId1"/>
  <headerFooter>
    <oddHeader>&amp;L&amp;"Arial,Regular"Proposed Working Women's Hostels for TNWWHSB at Tiruvannamalai.&amp;R&amp;"Tahoma,Regular"&amp;A</oddHeader>
    <oddFooter>&amp;L&amp;"Tahoma,Regular"DIUS Design Consultants Pvt Ltd&amp;C&amp;"Tahoma,Regular"&amp;P of &amp;N&amp;R&amp;"Tahoma,Regular"Knight Frank (India) Pvt Ltd</oddFooter>
  </headerFooter>
  <rowBreaks count="12" manualBreakCount="12">
    <brk id="8" max="10" man="1"/>
    <brk id="12" max="10" man="1"/>
    <brk id="26" max="10" man="1"/>
    <brk id="31" max="10" man="1"/>
    <brk id="47" max="10" man="1"/>
    <brk id="55" max="10" man="1"/>
    <brk id="60" max="10" man="1"/>
    <brk id="63" max="10" man="1"/>
    <brk id="67" max="10" man="1"/>
    <brk id="72" max="10" man="1"/>
    <brk id="75" max="10" man="1"/>
    <brk id="86" max="16383" man="1"/>
  </rowBreaks>
</worksheet>
</file>

<file path=xl/worksheets/sheet15.xml><?xml version="1.0" encoding="utf-8"?>
<worksheet xmlns="http://schemas.openxmlformats.org/spreadsheetml/2006/main" xmlns:r="http://schemas.openxmlformats.org/officeDocument/2006/relationships">
  <sheetPr>
    <tabColor theme="2"/>
  </sheetPr>
  <dimension ref="A1:P16"/>
  <sheetViews>
    <sheetView view="pageBreakPreview" zoomScale="85" zoomScaleSheetLayoutView="85" workbookViewId="0">
      <pane xSplit="4" ySplit="4" topLeftCell="E5" activePane="bottomRight" state="frozen"/>
      <selection activeCell="E40" sqref="E40"/>
      <selection pane="topRight" activeCell="E40" sqref="E40"/>
      <selection pane="bottomLeft" activeCell="E40" sqref="E40"/>
      <selection pane="bottomRight" activeCell="E40" sqref="E40"/>
    </sheetView>
  </sheetViews>
  <sheetFormatPr defaultColWidth="9.140625" defaultRowHeight="15"/>
  <cols>
    <col min="1" max="1" width="9" style="139" bestFit="1" customWidth="1"/>
    <col min="2" max="2" width="50.7109375" style="139" customWidth="1"/>
    <col min="3" max="3" width="7.5703125" style="139" customWidth="1"/>
    <col min="4" max="4" width="11.42578125" style="141" bestFit="1" customWidth="1"/>
    <col min="5" max="5" width="14.140625" style="141" customWidth="1"/>
    <col min="6" max="6" width="15.7109375" style="139" customWidth="1"/>
    <col min="7" max="7" width="14.140625" style="142" customWidth="1"/>
    <col min="8" max="8" width="15.7109375" style="139" customWidth="1"/>
    <col min="9" max="9" width="14.140625" style="142" customWidth="1"/>
    <col min="10" max="10" width="15.7109375" style="139" customWidth="1"/>
    <col min="11" max="11" width="16.28515625" style="139" customWidth="1"/>
    <col min="12" max="13" width="9.140625" style="139"/>
    <col min="14" max="14" width="12.140625" style="139" bestFit="1" customWidth="1"/>
    <col min="15" max="16" width="13.5703125" style="139" bestFit="1" customWidth="1"/>
    <col min="17" max="16384" width="9.140625" style="139"/>
  </cols>
  <sheetData>
    <row r="1" spans="1:16" ht="24.95" customHeight="1">
      <c r="A1" s="769" t="s">
        <v>1860</v>
      </c>
      <c r="B1" s="770"/>
      <c r="C1" s="770"/>
      <c r="D1" s="770"/>
      <c r="E1" s="770"/>
      <c r="F1" s="770"/>
      <c r="G1" s="770"/>
      <c r="H1" s="770"/>
      <c r="I1" s="770"/>
      <c r="J1" s="770"/>
      <c r="K1" s="771"/>
    </row>
    <row r="2" spans="1:16" ht="24.95" customHeight="1">
      <c r="A2" s="258" t="s">
        <v>905</v>
      </c>
      <c r="B2" s="259"/>
      <c r="C2" s="259"/>
      <c r="D2" s="259"/>
      <c r="E2" s="259"/>
      <c r="F2" s="259"/>
      <c r="G2" s="260"/>
      <c r="H2" s="259"/>
      <c r="I2" s="260"/>
      <c r="J2" s="259"/>
      <c r="K2" s="261" t="s">
        <v>1644</v>
      </c>
    </row>
    <row r="3" spans="1:16" ht="30" customHeight="1">
      <c r="A3" s="798" t="s">
        <v>768</v>
      </c>
      <c r="B3" s="798" t="s">
        <v>1</v>
      </c>
      <c r="C3" s="798" t="s">
        <v>146</v>
      </c>
      <c r="D3" s="800" t="s">
        <v>148</v>
      </c>
      <c r="E3" s="802" t="s">
        <v>1901</v>
      </c>
      <c r="F3" s="803"/>
      <c r="G3" s="802" t="s">
        <v>1902</v>
      </c>
      <c r="H3" s="803"/>
      <c r="I3" s="802" t="s">
        <v>1903</v>
      </c>
      <c r="J3" s="803"/>
      <c r="K3" s="265" t="s">
        <v>910</v>
      </c>
    </row>
    <row r="4" spans="1:16" ht="24.75" customHeight="1">
      <c r="A4" s="807"/>
      <c r="B4" s="807"/>
      <c r="C4" s="807"/>
      <c r="D4" s="808"/>
      <c r="E4" s="22" t="s">
        <v>770</v>
      </c>
      <c r="F4" s="23" t="s">
        <v>771</v>
      </c>
      <c r="G4" s="22" t="s">
        <v>770</v>
      </c>
      <c r="H4" s="23" t="s">
        <v>771</v>
      </c>
      <c r="I4" s="22" t="s">
        <v>770</v>
      </c>
      <c r="J4" s="23" t="s">
        <v>771</v>
      </c>
      <c r="K4" s="22" t="s">
        <v>770</v>
      </c>
    </row>
    <row r="5" spans="1:16" ht="18" customHeight="1">
      <c r="A5" s="247"/>
      <c r="B5" s="248" t="s">
        <v>994</v>
      </c>
      <c r="C5" s="245"/>
      <c r="D5" s="246"/>
      <c r="E5" s="249"/>
      <c r="F5" s="249"/>
      <c r="G5" s="250"/>
      <c r="H5" s="249"/>
      <c r="I5" s="250"/>
      <c r="J5" s="249"/>
      <c r="K5" s="251"/>
    </row>
    <row r="6" spans="1:16" ht="375">
      <c r="A6" s="247"/>
      <c r="B6" s="252" t="str">
        <f>'BOQ-C&amp;I'!C119</f>
        <v>UPVC Sliding Window with SS meshProviding and fixing of Two and half track Sliding Window with SS Mesh using 108mm x 47mm outer frame with Window Sash of 56mm x 38mm frame screen sash of 52mm x 22mm and all sections shall reinforced with Galvanized Iron of 120 GSM profiles through out the window steel of 1mm in Frame and 1.5mm in Shutters.Composition of profile shall consists a minimum of 6 PHR of TiO₂ for every 100 parts of PVC resin. All Glazed shutters are fixed with 5mm thk clear glass with TPV gasket and co extruded beadings with single point locking system of flush lock, Profile thicknes of 2.2mm +_ 0.2mm. The rate shall be include for preaparing &amp; submitting shop drawings, calculations etc.. and for conducting the necessary test to check for water tightness at various heights etc.. and also inclusive of cost and conveyance of all materials, accessories, labour charges for transportation, erection at site complete for finished item of work, as complete with all respects complying with relevant standard codes &amp; specification, as directed by the Engineer-in-charge.</v>
      </c>
      <c r="C6" s="239"/>
      <c r="D6" s="240"/>
      <c r="E6" s="241"/>
      <c r="F6" s="241"/>
      <c r="G6" s="212"/>
      <c r="H6" s="241"/>
      <c r="I6" s="212"/>
      <c r="J6" s="241"/>
      <c r="K6" s="213"/>
    </row>
    <row r="7" spans="1:16" ht="20.100000000000001" customHeight="1">
      <c r="A7" s="247" t="s">
        <v>71</v>
      </c>
      <c r="B7" s="252" t="str">
        <f>'BOQ-C&amp;I'!C120</f>
        <v>Size 1500x1200mm</v>
      </c>
      <c r="C7" s="239" t="s">
        <v>51</v>
      </c>
      <c r="D7" s="240">
        <v>1</v>
      </c>
      <c r="E7" s="241">
        <v>9554</v>
      </c>
      <c r="F7" s="241">
        <f t="shared" ref="F7" si="0">IFERROR(ROUND(D7*E7,0),"")</f>
        <v>9554</v>
      </c>
      <c r="G7" s="212">
        <v>34655.269999999997</v>
      </c>
      <c r="H7" s="241">
        <f t="shared" ref="H7" si="1">IFERROR(ROUND(D7*G7,0),"")</f>
        <v>34655</v>
      </c>
      <c r="I7" s="212">
        <v>12857.59</v>
      </c>
      <c r="J7" s="241">
        <f t="shared" ref="J7" si="2">IFERROR(ROUND(D7*I7,0),"")</f>
        <v>12858</v>
      </c>
      <c r="K7" s="213">
        <f t="shared" ref="K7" si="3">MIN(E7,G7,I7)</f>
        <v>9554</v>
      </c>
      <c r="N7" s="235"/>
      <c r="O7" s="235"/>
      <c r="P7" s="235"/>
    </row>
    <row r="8" spans="1:16" ht="20.100000000000001" customHeight="1">
      <c r="A8" s="247" t="s">
        <v>70</v>
      </c>
      <c r="B8" s="252" t="str">
        <f>'BOQ-C&amp;I'!C121</f>
        <v>Size 1200x1200mm</v>
      </c>
      <c r="C8" s="239" t="s">
        <v>51</v>
      </c>
      <c r="D8" s="240">
        <v>1</v>
      </c>
      <c r="E8" s="241">
        <v>8437</v>
      </c>
      <c r="F8" s="241">
        <f t="shared" ref="F8" si="4">IFERROR(ROUND(D8*E8,0),"")</f>
        <v>8437</v>
      </c>
      <c r="G8" s="212">
        <v>30304.94</v>
      </c>
      <c r="H8" s="241">
        <f t="shared" ref="H8" si="5">IFERROR(ROUND(D8*G8,0),"")</f>
        <v>30305</v>
      </c>
      <c r="I8" s="212">
        <v>11991.55</v>
      </c>
      <c r="J8" s="241">
        <f t="shared" ref="J8" si="6">IFERROR(ROUND(D8*I8,0),"")</f>
        <v>11992</v>
      </c>
      <c r="K8" s="213">
        <f t="shared" ref="K8" si="7">MIN(E8,G8,I8)</f>
        <v>8437</v>
      </c>
      <c r="N8" s="235"/>
      <c r="O8" s="235"/>
      <c r="P8" s="235"/>
    </row>
    <row r="9" spans="1:16" ht="20.100000000000001" customHeight="1">
      <c r="A9" s="247" t="s">
        <v>69</v>
      </c>
      <c r="B9" s="252" t="str">
        <f>'BOQ-C&amp;I'!C122</f>
        <v>Size 1200x900mm</v>
      </c>
      <c r="C9" s="239" t="s">
        <v>51</v>
      </c>
      <c r="D9" s="240">
        <v>1</v>
      </c>
      <c r="E9" s="241">
        <v>7318</v>
      </c>
      <c r="F9" s="241">
        <f t="shared" ref="F9:F10" si="8">IFERROR(ROUND(D9*E9,0),"")</f>
        <v>7318</v>
      </c>
      <c r="G9" s="212">
        <v>25935.43</v>
      </c>
      <c r="H9" s="241">
        <f t="shared" ref="H9:H10" si="9">IFERROR(ROUND(D9*G9,0),"")</f>
        <v>25935</v>
      </c>
      <c r="I9" s="212">
        <v>10733.19</v>
      </c>
      <c r="J9" s="241">
        <f t="shared" ref="J9:J10" si="10">IFERROR(ROUND(D9*I9,0),"")</f>
        <v>10733</v>
      </c>
      <c r="K9" s="213">
        <f t="shared" ref="K9:K10" si="11">MIN(E9,G9,I9)</f>
        <v>7318</v>
      </c>
      <c r="N9" s="235"/>
      <c r="O9" s="235"/>
      <c r="P9" s="235"/>
    </row>
    <row r="10" spans="1:16" ht="20.100000000000001" customHeight="1">
      <c r="A10" s="247" t="s">
        <v>68</v>
      </c>
      <c r="B10" s="252" t="str">
        <f>'BOQ-C&amp;I'!C123</f>
        <v>Size 1500x750mm</v>
      </c>
      <c r="C10" s="239" t="s">
        <v>51</v>
      </c>
      <c r="D10" s="240">
        <v>1</v>
      </c>
      <c r="E10" s="241">
        <v>8019</v>
      </c>
      <c r="F10" s="241">
        <f t="shared" si="8"/>
        <v>8019</v>
      </c>
      <c r="G10" s="212">
        <v>28588.18</v>
      </c>
      <c r="H10" s="241">
        <f t="shared" si="9"/>
        <v>28588</v>
      </c>
      <c r="I10" s="212">
        <v>11466.14</v>
      </c>
      <c r="J10" s="241">
        <f t="shared" si="10"/>
        <v>11466</v>
      </c>
      <c r="K10" s="213">
        <f t="shared" si="11"/>
        <v>8019</v>
      </c>
      <c r="N10" s="235"/>
      <c r="O10" s="235"/>
      <c r="P10" s="235"/>
    </row>
    <row r="11" spans="1:16" ht="20.100000000000001" customHeight="1">
      <c r="A11" s="215"/>
      <c r="B11" s="216"/>
      <c r="C11" s="217"/>
      <c r="D11" s="218"/>
      <c r="E11" s="219"/>
      <c r="F11" s="219"/>
      <c r="G11" s="153"/>
      <c r="H11" s="219"/>
      <c r="I11" s="153"/>
      <c r="J11" s="219"/>
      <c r="K11" s="220"/>
    </row>
    <row r="12" spans="1:16" ht="25.5" customHeight="1">
      <c r="A12" s="28"/>
      <c r="B12" s="29" t="s">
        <v>920</v>
      </c>
      <c r="C12" s="30"/>
      <c r="D12" s="31"/>
      <c r="E12" s="32"/>
      <c r="F12" s="32">
        <f>SUM(F7:F11)</f>
        <v>33328</v>
      </c>
      <c r="G12" s="140"/>
      <c r="H12" s="32">
        <f>SUM(H7:H11)</f>
        <v>119483</v>
      </c>
      <c r="I12" s="140"/>
      <c r="J12" s="32">
        <f>SUM(J7:J11)</f>
        <v>47049</v>
      </c>
      <c r="K12" s="32"/>
    </row>
    <row r="13" spans="1:16" ht="19.5" customHeight="1">
      <c r="F13" s="143"/>
      <c r="G13" s="144"/>
      <c r="H13" s="145"/>
      <c r="I13" s="146"/>
      <c r="J13" s="145"/>
    </row>
    <row r="16" spans="1:16">
      <c r="F16" s="147"/>
      <c r="H16" s="147"/>
      <c r="J16" s="147"/>
    </row>
  </sheetData>
  <mergeCells count="8">
    <mergeCell ref="A1:K1"/>
    <mergeCell ref="A3:A4"/>
    <mergeCell ref="B3:B4"/>
    <mergeCell ref="C3:C4"/>
    <mergeCell ref="D3:D4"/>
    <mergeCell ref="E3:F3"/>
    <mergeCell ref="G3:H3"/>
    <mergeCell ref="I3:J3"/>
  </mergeCells>
  <printOptions horizontalCentered="1"/>
  <pageMargins left="0.59" right="0.39500000000000002" top="0.74803149606299202" bottom="0.74803149606299202" header="0.31496062992126" footer="0.31496062992126"/>
  <pageSetup paperSize="9" scale="73" orientation="landscape" r:id="rId1"/>
  <headerFooter>
    <oddHeader>&amp;L&amp;"Arial,Regular"Proposed Working Women's Hostels for TNWWHSB at Tiruvannamalai.&amp;R&amp;"Tohama,Regular"&amp;A</oddHeader>
    <oddFooter>&amp;L&amp;"Tahoma,Regular"DIUS Design Consultants Pvt Ltd&amp;C&amp;"Tahoma,Regular"&amp;P of &amp;N&amp;R&amp;"Tahoma,Regular"Knight Frank (India) Pvt Ltd</oddFooter>
  </headerFooter>
</worksheet>
</file>

<file path=xl/worksheets/sheet16.xml><?xml version="1.0" encoding="utf-8"?>
<worksheet xmlns="http://schemas.openxmlformats.org/spreadsheetml/2006/main" xmlns:r="http://schemas.openxmlformats.org/officeDocument/2006/relationships">
  <sheetPr>
    <tabColor theme="2"/>
  </sheetPr>
  <dimension ref="A1:P14"/>
  <sheetViews>
    <sheetView view="pageBreakPreview" zoomScale="85" zoomScaleSheetLayoutView="85" workbookViewId="0">
      <pane xSplit="4" ySplit="4" topLeftCell="E5" activePane="bottomRight" state="frozen"/>
      <selection activeCell="E40" sqref="E40"/>
      <selection pane="topRight" activeCell="E40" sqref="E40"/>
      <selection pane="bottomLeft" activeCell="E40" sqref="E40"/>
      <selection pane="bottomRight" activeCell="E40" sqref="E40"/>
    </sheetView>
  </sheetViews>
  <sheetFormatPr defaultColWidth="9.140625" defaultRowHeight="15"/>
  <cols>
    <col min="1" max="1" width="9" style="139" bestFit="1" customWidth="1"/>
    <col min="2" max="2" width="50.7109375" style="139" customWidth="1"/>
    <col min="3" max="3" width="7.5703125" style="139" customWidth="1"/>
    <col min="4" max="4" width="11.42578125" style="141" bestFit="1" customWidth="1"/>
    <col min="5" max="5" width="14.140625" style="141" customWidth="1"/>
    <col min="6" max="6" width="15.7109375" style="139" customWidth="1"/>
    <col min="7" max="7" width="14.140625" style="142" customWidth="1"/>
    <col min="8" max="8" width="15.7109375" style="139" customWidth="1"/>
    <col min="9" max="9" width="14.140625" style="142" customWidth="1"/>
    <col min="10" max="10" width="15.7109375" style="139" customWidth="1"/>
    <col min="11" max="11" width="16.28515625" style="139" customWidth="1"/>
    <col min="12" max="13" width="9.140625" style="139"/>
    <col min="14" max="14" width="12.140625" style="139" bestFit="1" customWidth="1"/>
    <col min="15" max="16" width="13.5703125" style="139" bestFit="1" customWidth="1"/>
    <col min="17" max="16384" width="9.140625" style="139"/>
  </cols>
  <sheetData>
    <row r="1" spans="1:16" ht="24.95" customHeight="1">
      <c r="A1" s="769" t="s">
        <v>1860</v>
      </c>
      <c r="B1" s="770"/>
      <c r="C1" s="770"/>
      <c r="D1" s="770"/>
      <c r="E1" s="770"/>
      <c r="F1" s="770"/>
      <c r="G1" s="770"/>
      <c r="H1" s="770"/>
      <c r="I1" s="770"/>
      <c r="J1" s="770"/>
      <c r="K1" s="771"/>
    </row>
    <row r="2" spans="1:16" ht="24.95" customHeight="1">
      <c r="A2" s="258" t="s">
        <v>905</v>
      </c>
      <c r="B2" s="259"/>
      <c r="C2" s="259"/>
      <c r="D2" s="259"/>
      <c r="E2" s="259"/>
      <c r="F2" s="259"/>
      <c r="G2" s="260"/>
      <c r="H2" s="259"/>
      <c r="I2" s="260"/>
      <c r="J2" s="259"/>
      <c r="K2" s="261" t="s">
        <v>1905</v>
      </c>
    </row>
    <row r="3" spans="1:16" ht="30" customHeight="1">
      <c r="A3" s="798" t="s">
        <v>768</v>
      </c>
      <c r="B3" s="798" t="s">
        <v>1</v>
      </c>
      <c r="C3" s="798" t="s">
        <v>146</v>
      </c>
      <c r="D3" s="800" t="s">
        <v>148</v>
      </c>
      <c r="E3" s="802" t="s">
        <v>1904</v>
      </c>
      <c r="F3" s="803"/>
      <c r="G3" s="802" t="s">
        <v>1911</v>
      </c>
      <c r="H3" s="803"/>
      <c r="I3" s="802" t="s">
        <v>1912</v>
      </c>
      <c r="J3" s="803"/>
      <c r="K3" s="265" t="s">
        <v>910</v>
      </c>
    </row>
    <row r="4" spans="1:16" ht="24.75" customHeight="1">
      <c r="A4" s="807"/>
      <c r="B4" s="807"/>
      <c r="C4" s="807"/>
      <c r="D4" s="808"/>
      <c r="E4" s="22" t="s">
        <v>770</v>
      </c>
      <c r="F4" s="23" t="s">
        <v>771</v>
      </c>
      <c r="G4" s="22" t="s">
        <v>770</v>
      </c>
      <c r="H4" s="23" t="s">
        <v>771</v>
      </c>
      <c r="I4" s="22" t="s">
        <v>770</v>
      </c>
      <c r="J4" s="23" t="s">
        <v>771</v>
      </c>
      <c r="K4" s="22" t="s">
        <v>770</v>
      </c>
    </row>
    <row r="5" spans="1:16" ht="18" customHeight="1">
      <c r="A5" s="247">
        <v>1</v>
      </c>
      <c r="B5" s="248" t="str">
        <f>'BOQ-C&amp;I'!C294</f>
        <v>Precast Hollowcore Compound wall</v>
      </c>
      <c r="C5" s="245"/>
      <c r="D5" s="246"/>
      <c r="E5" s="249"/>
      <c r="F5" s="249"/>
      <c r="G5" s="250"/>
      <c r="H5" s="249"/>
      <c r="I5" s="250"/>
      <c r="J5" s="249"/>
      <c r="K5" s="251"/>
    </row>
    <row r="6" spans="1:16" ht="38.25" customHeight="1">
      <c r="A6" s="247"/>
      <c r="B6" s="252" t="str">
        <f>'BOQ-C&amp;I'!C295</f>
        <v>With precast Slabs and Posts - 2400mm from top of Tie beam level</v>
      </c>
      <c r="C6" s="245"/>
      <c r="D6" s="246"/>
      <c r="E6" s="249"/>
      <c r="F6" s="249"/>
      <c r="G6" s="250"/>
      <c r="H6" s="249"/>
      <c r="I6" s="250"/>
      <c r="J6" s="249"/>
      <c r="K6" s="251"/>
    </row>
    <row r="7" spans="1:16" ht="180">
      <c r="A7" s="247"/>
      <c r="B7" s="252" t="str">
        <f>'BOQ-C&amp;I'!C296</f>
        <v>Supply and installation of M25 grade precast hollowcore slab and Posts to the details as shown in the drawing. But in general the precast hollowcore slab shall be of 200mm thick and to a size of 8000mm length and 1200mm height inserted to the dumbbell shaped Precast post of same grade. Precast post shall be placed over the tie beam / Pedestal with necessary fixing arrangements as per manufacturer's specification. Two post shall be placed near the expansion joints as per details</v>
      </c>
      <c r="C7" s="245"/>
      <c r="D7" s="246"/>
      <c r="E7" s="249"/>
      <c r="F7" s="249"/>
      <c r="G7" s="250"/>
      <c r="H7" s="249"/>
      <c r="I7" s="250"/>
      <c r="J7" s="249"/>
      <c r="K7" s="251"/>
    </row>
    <row r="8" spans="1:16" ht="79.5" customHeight="1">
      <c r="A8" s="247"/>
      <c r="B8" s="252" t="str">
        <f>'BOQ-C&amp;I'!C297</f>
        <v>Rate to include all the works mentioned above including preparing shop drawings as per the architectural design intend drawing for Architect's approval and display of samples as directed by Engineer-in-charge.</v>
      </c>
      <c r="C8" s="239" t="s">
        <v>9</v>
      </c>
      <c r="D8" s="240">
        <v>1</v>
      </c>
      <c r="E8" s="241">
        <v>3000</v>
      </c>
      <c r="F8" s="241">
        <f t="shared" ref="F8" si="0">IFERROR(ROUND(D8*E8,0),"")</f>
        <v>3000</v>
      </c>
      <c r="G8" s="212">
        <v>3300</v>
      </c>
      <c r="H8" s="241">
        <f t="shared" ref="H8" si="1">IFERROR(ROUND(D8*G8,0),"")</f>
        <v>3300</v>
      </c>
      <c r="I8" s="212"/>
      <c r="J8" s="241">
        <f t="shared" ref="J8" si="2">IFERROR(ROUND(D8*I8,0),"")</f>
        <v>0</v>
      </c>
      <c r="K8" s="213">
        <f t="shared" ref="K8" si="3">MIN(E8,G8,I8)</f>
        <v>3000</v>
      </c>
      <c r="N8" s="235"/>
      <c r="O8" s="235"/>
      <c r="P8" s="235"/>
    </row>
    <row r="9" spans="1:16" ht="20.100000000000001" customHeight="1">
      <c r="A9" s="215"/>
      <c r="B9" s="216"/>
      <c r="C9" s="217"/>
      <c r="D9" s="218"/>
      <c r="E9" s="219"/>
      <c r="F9" s="219"/>
      <c r="G9" s="153"/>
      <c r="H9" s="219"/>
      <c r="I9" s="153"/>
      <c r="J9" s="219"/>
      <c r="K9" s="220"/>
    </row>
    <row r="10" spans="1:16" ht="25.5" customHeight="1">
      <c r="A10" s="28"/>
      <c r="B10" s="29" t="s">
        <v>920</v>
      </c>
      <c r="C10" s="30"/>
      <c r="D10" s="31"/>
      <c r="E10" s="32"/>
      <c r="F10" s="32">
        <f>SUM(F8:F9)</f>
        <v>3000</v>
      </c>
      <c r="G10" s="140"/>
      <c r="H10" s="32">
        <f>SUM(H8:H9)</f>
        <v>3300</v>
      </c>
      <c r="I10" s="140"/>
      <c r="J10" s="32">
        <f>SUM(J8:J9)</f>
        <v>0</v>
      </c>
      <c r="K10" s="32"/>
    </row>
    <row r="11" spans="1:16" ht="19.5" customHeight="1">
      <c r="F11" s="143"/>
      <c r="G11" s="144"/>
      <c r="H11" s="145"/>
      <c r="I11" s="146"/>
      <c r="J11" s="145"/>
    </row>
    <row r="14" spans="1:16">
      <c r="F14" s="147"/>
      <c r="H14" s="147"/>
      <c r="J14" s="147"/>
    </row>
  </sheetData>
  <mergeCells count="8">
    <mergeCell ref="A1:K1"/>
    <mergeCell ref="A3:A4"/>
    <mergeCell ref="B3:B4"/>
    <mergeCell ref="C3:C4"/>
    <mergeCell ref="D3:D4"/>
    <mergeCell ref="E3:F3"/>
    <mergeCell ref="G3:H3"/>
    <mergeCell ref="I3:J3"/>
  </mergeCells>
  <printOptions horizontalCentered="1"/>
  <pageMargins left="0.59" right="0.39500000000000002" top="0.74803149606299202" bottom="0.74803149606299202" header="0.31496062992126" footer="0.31496062992126"/>
  <pageSetup paperSize="9" scale="73" orientation="landscape" r:id="rId1"/>
  <headerFooter>
    <oddHeader>&amp;L&amp;"Arial,Regular"Proposed Working Women's Hostels for TNWWHSB at Tiruvannamalai.&amp;R&amp;"Tohama,Regular"&amp;A</oddHeader>
    <oddFooter>&amp;L&amp;"Tahoma,Regular"DIUS Design Consultants Pvt Ltd&amp;C&amp;"Tahoma,Regular"&amp;P of &amp;N&amp;R&amp;"Tahoma,Regular"Knight Frank (India) Pvt Ltd</oddFooter>
  </headerFooter>
</worksheet>
</file>

<file path=xl/worksheets/sheet17.xml><?xml version="1.0" encoding="utf-8"?>
<worksheet xmlns="http://schemas.openxmlformats.org/spreadsheetml/2006/main" xmlns:r="http://schemas.openxmlformats.org/officeDocument/2006/relationships">
  <sheetPr>
    <tabColor theme="2"/>
  </sheetPr>
  <dimension ref="A1:Z108"/>
  <sheetViews>
    <sheetView view="pageBreakPreview" zoomScale="85" zoomScaleSheetLayoutView="85" workbookViewId="0">
      <pane xSplit="1" ySplit="3" topLeftCell="B93" activePane="bottomRight" state="frozen"/>
      <selection activeCell="E40" sqref="E40"/>
      <selection pane="topRight" activeCell="E40" sqref="E40"/>
      <selection pane="bottomLeft" activeCell="E40" sqref="E40"/>
      <selection pane="bottomRight" activeCell="E40" sqref="E40"/>
    </sheetView>
  </sheetViews>
  <sheetFormatPr defaultColWidth="8.85546875" defaultRowHeight="12.75"/>
  <cols>
    <col min="1" max="1" width="5.7109375" style="67" bestFit="1" customWidth="1"/>
    <col min="2" max="2" width="40.85546875" style="68" bestFit="1" customWidth="1"/>
    <col min="3" max="3" width="55.28515625" style="69" bestFit="1" customWidth="1"/>
    <col min="4" max="16384" width="8.85546875" style="57"/>
  </cols>
  <sheetData>
    <row r="1" spans="1:3" ht="36.6" customHeight="1">
      <c r="A1" s="818" t="s">
        <v>1614</v>
      </c>
      <c r="B1" s="819"/>
      <c r="C1" s="820"/>
    </row>
    <row r="2" spans="1:3" ht="25.15" customHeight="1">
      <c r="A2" s="821" t="s">
        <v>795</v>
      </c>
      <c r="B2" s="822"/>
      <c r="C2" s="823"/>
    </row>
    <row r="3" spans="1:3" s="60" customFormat="1" ht="21" customHeight="1">
      <c r="A3" s="58" t="s">
        <v>0</v>
      </c>
      <c r="B3" s="59" t="s">
        <v>1</v>
      </c>
      <c r="C3" s="59" t="s">
        <v>796</v>
      </c>
    </row>
    <row r="4" spans="1:3" ht="15">
      <c r="A4" s="455"/>
      <c r="B4" s="456" t="s">
        <v>797</v>
      </c>
      <c r="C4" s="457"/>
    </row>
    <row r="5" spans="1:3" ht="15">
      <c r="A5" s="458">
        <v>1</v>
      </c>
      <c r="B5" s="459" t="s">
        <v>798</v>
      </c>
      <c r="C5" s="459" t="s">
        <v>1768</v>
      </c>
    </row>
    <row r="6" spans="1:3" ht="15">
      <c r="A6" s="458">
        <f>A5+1</f>
        <v>2</v>
      </c>
      <c r="B6" s="459" t="s">
        <v>217</v>
      </c>
      <c r="C6" s="459" t="s">
        <v>1769</v>
      </c>
    </row>
    <row r="7" spans="1:3" ht="15">
      <c r="A7" s="458">
        <f t="shared" ref="A7:A14" si="0">A6+1</f>
        <v>3</v>
      </c>
      <c r="B7" s="459" t="s">
        <v>799</v>
      </c>
      <c r="C7" s="459" t="s">
        <v>1770</v>
      </c>
    </row>
    <row r="8" spans="1:3" ht="15">
      <c r="A8" s="458">
        <f t="shared" si="0"/>
        <v>4</v>
      </c>
      <c r="B8" s="459" t="s">
        <v>800</v>
      </c>
      <c r="C8" s="459" t="s">
        <v>1771</v>
      </c>
    </row>
    <row r="9" spans="1:3" ht="15">
      <c r="A9" s="458">
        <f t="shared" si="0"/>
        <v>5</v>
      </c>
      <c r="B9" s="459" t="s">
        <v>801</v>
      </c>
      <c r="C9" s="459" t="s">
        <v>1772</v>
      </c>
    </row>
    <row r="10" spans="1:3" ht="15">
      <c r="A10" s="458">
        <f t="shared" si="0"/>
        <v>6</v>
      </c>
      <c r="B10" s="459" t="s">
        <v>802</v>
      </c>
      <c r="C10" s="459" t="s">
        <v>1773</v>
      </c>
    </row>
    <row r="11" spans="1:3" ht="15">
      <c r="A11" s="458">
        <f t="shared" si="0"/>
        <v>7</v>
      </c>
      <c r="B11" s="459" t="s">
        <v>803</v>
      </c>
      <c r="C11" s="459" t="s">
        <v>1774</v>
      </c>
    </row>
    <row r="12" spans="1:3" ht="15">
      <c r="A12" s="458">
        <f t="shared" si="0"/>
        <v>8</v>
      </c>
      <c r="B12" s="459" t="s">
        <v>804</v>
      </c>
      <c r="C12" s="459" t="s">
        <v>1775</v>
      </c>
    </row>
    <row r="13" spans="1:3" ht="15">
      <c r="A13" s="458">
        <f t="shared" si="0"/>
        <v>9</v>
      </c>
      <c r="B13" s="459" t="s">
        <v>805</v>
      </c>
      <c r="C13" s="459" t="s">
        <v>1776</v>
      </c>
    </row>
    <row r="14" spans="1:3" ht="15">
      <c r="A14" s="458">
        <f t="shared" si="0"/>
        <v>10</v>
      </c>
      <c r="B14" s="459" t="s">
        <v>806</v>
      </c>
      <c r="C14" s="459" t="s">
        <v>1777</v>
      </c>
    </row>
    <row r="15" spans="1:3" ht="15">
      <c r="A15" s="458"/>
      <c r="B15" s="62"/>
      <c r="C15" s="459"/>
    </row>
    <row r="16" spans="1:3" ht="15">
      <c r="A16" s="458"/>
      <c r="B16" s="456" t="s">
        <v>807</v>
      </c>
      <c r="C16" s="459"/>
    </row>
    <row r="17" spans="1:3" ht="15">
      <c r="A17" s="458">
        <f>A14+1</f>
        <v>11</v>
      </c>
      <c r="B17" s="459" t="s">
        <v>808</v>
      </c>
      <c r="C17" s="459" t="s">
        <v>1778</v>
      </c>
    </row>
    <row r="18" spans="1:3" ht="15">
      <c r="A18" s="458">
        <f>A17+1</f>
        <v>12</v>
      </c>
      <c r="B18" s="459" t="s">
        <v>881</v>
      </c>
      <c r="C18" s="459" t="s">
        <v>1779</v>
      </c>
    </row>
    <row r="19" spans="1:3" ht="15">
      <c r="A19" s="458">
        <f t="shared" ref="A19:A26" si="1">A18+1</f>
        <v>13</v>
      </c>
      <c r="B19" s="459" t="s">
        <v>809</v>
      </c>
      <c r="C19" s="459" t="s">
        <v>1780</v>
      </c>
    </row>
    <row r="20" spans="1:3" ht="15">
      <c r="A20" s="458">
        <f t="shared" si="1"/>
        <v>14</v>
      </c>
      <c r="B20" s="459" t="s">
        <v>810</v>
      </c>
      <c r="C20" s="459" t="s">
        <v>1780</v>
      </c>
    </row>
    <row r="21" spans="1:3" ht="15">
      <c r="A21" s="458">
        <f t="shared" si="1"/>
        <v>15</v>
      </c>
      <c r="B21" s="459" t="s">
        <v>811</v>
      </c>
      <c r="C21" s="459" t="s">
        <v>1781</v>
      </c>
    </row>
    <row r="22" spans="1:3" ht="15">
      <c r="A22" s="458">
        <f t="shared" si="1"/>
        <v>16</v>
      </c>
      <c r="B22" s="459" t="s">
        <v>812</v>
      </c>
      <c r="C22" s="459" t="s">
        <v>1781</v>
      </c>
    </row>
    <row r="23" spans="1:3" ht="15">
      <c r="A23" s="458">
        <f t="shared" si="1"/>
        <v>17</v>
      </c>
      <c r="B23" s="459" t="s">
        <v>813</v>
      </c>
      <c r="C23" s="459" t="s">
        <v>1782</v>
      </c>
    </row>
    <row r="24" spans="1:3" ht="15">
      <c r="A24" s="458">
        <f t="shared" si="1"/>
        <v>18</v>
      </c>
      <c r="B24" s="459" t="s">
        <v>814</v>
      </c>
      <c r="C24" s="459" t="s">
        <v>1783</v>
      </c>
    </row>
    <row r="25" spans="1:3" ht="15">
      <c r="A25" s="458">
        <f t="shared" si="1"/>
        <v>19</v>
      </c>
      <c r="B25" s="459" t="s">
        <v>815</v>
      </c>
      <c r="C25" s="459" t="s">
        <v>1784</v>
      </c>
    </row>
    <row r="26" spans="1:3" ht="15">
      <c r="A26" s="458">
        <f t="shared" si="1"/>
        <v>20</v>
      </c>
      <c r="B26" s="459" t="s">
        <v>816</v>
      </c>
      <c r="C26" s="459" t="s">
        <v>1785</v>
      </c>
    </row>
    <row r="27" spans="1:3" ht="15">
      <c r="A27" s="458">
        <f>A26+1</f>
        <v>21</v>
      </c>
      <c r="B27" s="459" t="s">
        <v>817</v>
      </c>
      <c r="C27" s="459" t="s">
        <v>1786</v>
      </c>
    </row>
    <row r="28" spans="1:3" ht="15">
      <c r="A28" s="458">
        <f>A27+1</f>
        <v>22</v>
      </c>
      <c r="B28" s="459" t="s">
        <v>1578</v>
      </c>
      <c r="C28" s="459" t="s">
        <v>1787</v>
      </c>
    </row>
    <row r="29" spans="1:3" ht="15">
      <c r="A29" s="458"/>
      <c r="B29" s="70"/>
      <c r="C29" s="70"/>
    </row>
    <row r="30" spans="1:3" ht="15">
      <c r="A30" s="458"/>
      <c r="B30" s="456" t="s">
        <v>818</v>
      </c>
      <c r="C30" s="62"/>
    </row>
    <row r="31" spans="1:3" ht="15">
      <c r="A31" s="458">
        <f>A28+1</f>
        <v>23</v>
      </c>
      <c r="B31" s="459" t="s">
        <v>819</v>
      </c>
      <c r="C31" s="459" t="s">
        <v>1773</v>
      </c>
    </row>
    <row r="32" spans="1:3" ht="15">
      <c r="A32" s="458">
        <f t="shared" ref="A32:A37" si="2">+A31+1</f>
        <v>24</v>
      </c>
      <c r="B32" s="459" t="s">
        <v>820</v>
      </c>
      <c r="C32" s="459" t="s">
        <v>1788</v>
      </c>
    </row>
    <row r="33" spans="1:3" ht="15">
      <c r="A33" s="458">
        <f t="shared" si="2"/>
        <v>25</v>
      </c>
      <c r="B33" s="459" t="s">
        <v>821</v>
      </c>
      <c r="C33" s="459" t="s">
        <v>1789</v>
      </c>
    </row>
    <row r="34" spans="1:3" ht="15">
      <c r="A34" s="458">
        <f t="shared" si="2"/>
        <v>26</v>
      </c>
      <c r="B34" s="459" t="s">
        <v>822</v>
      </c>
      <c r="C34" s="459" t="s">
        <v>1790</v>
      </c>
    </row>
    <row r="35" spans="1:3" ht="15">
      <c r="A35" s="458">
        <f t="shared" si="2"/>
        <v>27</v>
      </c>
      <c r="B35" s="459" t="s">
        <v>823</v>
      </c>
      <c r="C35" s="459" t="s">
        <v>1790</v>
      </c>
    </row>
    <row r="36" spans="1:3" ht="15">
      <c r="A36" s="458">
        <f t="shared" si="2"/>
        <v>28</v>
      </c>
      <c r="B36" s="459" t="s">
        <v>824</v>
      </c>
      <c r="C36" s="459" t="s">
        <v>1791</v>
      </c>
    </row>
    <row r="37" spans="1:3" ht="15">
      <c r="A37" s="458">
        <f t="shared" si="2"/>
        <v>29</v>
      </c>
      <c r="B37" s="459" t="s">
        <v>825</v>
      </c>
      <c r="C37" s="459" t="s">
        <v>1792</v>
      </c>
    </row>
    <row r="38" spans="1:3" ht="15">
      <c r="A38" s="61"/>
      <c r="B38" s="62"/>
      <c r="C38" s="63"/>
    </row>
    <row r="39" spans="1:3" ht="15">
      <c r="A39" s="61"/>
      <c r="B39" s="456" t="s">
        <v>826</v>
      </c>
      <c r="C39" s="63"/>
    </row>
    <row r="40" spans="1:3" ht="15">
      <c r="A40" s="458">
        <f>A37+1</f>
        <v>30</v>
      </c>
      <c r="B40" s="459" t="s">
        <v>827</v>
      </c>
      <c r="C40" s="459" t="s">
        <v>1793</v>
      </c>
    </row>
    <row r="41" spans="1:3" ht="15">
      <c r="A41" s="458">
        <f>A40+1</f>
        <v>31</v>
      </c>
      <c r="B41" s="459" t="s">
        <v>828</v>
      </c>
      <c r="C41" s="459" t="s">
        <v>1794</v>
      </c>
    </row>
    <row r="42" spans="1:3" ht="15">
      <c r="A42" s="458">
        <f t="shared" ref="A42:A61" si="3">A41+1</f>
        <v>32</v>
      </c>
      <c r="B42" s="459" t="s">
        <v>829</v>
      </c>
      <c r="C42" s="459" t="s">
        <v>1795</v>
      </c>
    </row>
    <row r="43" spans="1:3" ht="15">
      <c r="A43" s="458">
        <f t="shared" si="3"/>
        <v>33</v>
      </c>
      <c r="B43" s="459" t="s">
        <v>830</v>
      </c>
      <c r="C43" s="459" t="s">
        <v>1773</v>
      </c>
    </row>
    <row r="44" spans="1:3" ht="15">
      <c r="A44" s="458">
        <f t="shared" si="3"/>
        <v>34</v>
      </c>
      <c r="B44" s="459" t="s">
        <v>831</v>
      </c>
      <c r="C44" s="459" t="s">
        <v>1796</v>
      </c>
    </row>
    <row r="45" spans="1:3" ht="15">
      <c r="A45" s="458">
        <f t="shared" si="3"/>
        <v>35</v>
      </c>
      <c r="B45" s="459" t="s">
        <v>832</v>
      </c>
      <c r="C45" s="459" t="s">
        <v>1797</v>
      </c>
    </row>
    <row r="46" spans="1:3" ht="15">
      <c r="A46" s="458">
        <f t="shared" si="3"/>
        <v>36</v>
      </c>
      <c r="B46" s="459" t="s">
        <v>833</v>
      </c>
      <c r="C46" s="459" t="s">
        <v>1798</v>
      </c>
    </row>
    <row r="47" spans="1:3" ht="15">
      <c r="A47" s="458">
        <f t="shared" si="3"/>
        <v>37</v>
      </c>
      <c r="B47" s="459" t="s">
        <v>834</v>
      </c>
      <c r="C47" s="459" t="s">
        <v>1773</v>
      </c>
    </row>
    <row r="48" spans="1:3" ht="15">
      <c r="A48" s="458">
        <f t="shared" si="3"/>
        <v>38</v>
      </c>
      <c r="B48" s="459" t="s">
        <v>835</v>
      </c>
      <c r="C48" s="459" t="s">
        <v>1799</v>
      </c>
    </row>
    <row r="49" spans="1:3" ht="15">
      <c r="A49" s="458">
        <f t="shared" si="3"/>
        <v>39</v>
      </c>
      <c r="B49" s="459" t="s">
        <v>836</v>
      </c>
      <c r="C49" s="459" t="s">
        <v>1800</v>
      </c>
    </row>
    <row r="50" spans="1:3" ht="15">
      <c r="A50" s="458">
        <f t="shared" si="3"/>
        <v>40</v>
      </c>
      <c r="B50" s="459" t="s">
        <v>837</v>
      </c>
      <c r="C50" s="459" t="s">
        <v>1801</v>
      </c>
    </row>
    <row r="51" spans="1:3" ht="15">
      <c r="A51" s="458">
        <f t="shared" si="3"/>
        <v>41</v>
      </c>
      <c r="B51" s="459" t="s">
        <v>838</v>
      </c>
      <c r="C51" s="459" t="s">
        <v>1800</v>
      </c>
    </row>
    <row r="52" spans="1:3" ht="15">
      <c r="A52" s="458">
        <f t="shared" si="3"/>
        <v>42</v>
      </c>
      <c r="B52" s="459" t="s">
        <v>839</v>
      </c>
      <c r="C52" s="459" t="s">
        <v>1802</v>
      </c>
    </row>
    <row r="53" spans="1:3" ht="15">
      <c r="A53" s="458">
        <f t="shared" si="3"/>
        <v>43</v>
      </c>
      <c r="B53" s="459" t="s">
        <v>840</v>
      </c>
      <c r="C53" s="459" t="s">
        <v>1803</v>
      </c>
    </row>
    <row r="54" spans="1:3" ht="15">
      <c r="A54" s="458">
        <f t="shared" si="3"/>
        <v>44</v>
      </c>
      <c r="B54" s="459" t="s">
        <v>841</v>
      </c>
      <c r="C54" s="459" t="s">
        <v>1804</v>
      </c>
    </row>
    <row r="55" spans="1:3" ht="15">
      <c r="A55" s="458">
        <f t="shared" si="3"/>
        <v>45</v>
      </c>
      <c r="B55" s="459" t="s">
        <v>842</v>
      </c>
      <c r="C55" s="459" t="s">
        <v>1805</v>
      </c>
    </row>
    <row r="56" spans="1:3" ht="15">
      <c r="A56" s="458">
        <f t="shared" si="3"/>
        <v>46</v>
      </c>
      <c r="B56" s="459" t="s">
        <v>843</v>
      </c>
      <c r="C56" s="459" t="s">
        <v>1806</v>
      </c>
    </row>
    <row r="57" spans="1:3" ht="15">
      <c r="A57" s="458">
        <f t="shared" si="3"/>
        <v>47</v>
      </c>
      <c r="B57" s="459" t="s">
        <v>844</v>
      </c>
      <c r="C57" s="459" t="s">
        <v>1807</v>
      </c>
    </row>
    <row r="58" spans="1:3" ht="15">
      <c r="A58" s="458">
        <f t="shared" si="3"/>
        <v>48</v>
      </c>
      <c r="B58" s="459" t="s">
        <v>845</v>
      </c>
      <c r="C58" s="459" t="s">
        <v>1808</v>
      </c>
    </row>
    <row r="59" spans="1:3" ht="15">
      <c r="A59" s="458">
        <f t="shared" si="3"/>
        <v>49</v>
      </c>
      <c r="B59" s="459" t="s">
        <v>846</v>
      </c>
      <c r="C59" s="459" t="s">
        <v>1809</v>
      </c>
    </row>
    <row r="60" spans="1:3" ht="15">
      <c r="A60" s="458">
        <f t="shared" si="3"/>
        <v>50</v>
      </c>
      <c r="B60" s="459" t="s">
        <v>847</v>
      </c>
      <c r="C60" s="459" t="s">
        <v>1810</v>
      </c>
    </row>
    <row r="61" spans="1:3" ht="15">
      <c r="A61" s="458">
        <f t="shared" si="3"/>
        <v>51</v>
      </c>
      <c r="B61" s="459" t="s">
        <v>848</v>
      </c>
      <c r="C61" s="459" t="s">
        <v>1811</v>
      </c>
    </row>
    <row r="62" spans="1:3" ht="15">
      <c r="A62" s="61"/>
      <c r="B62" s="62"/>
      <c r="C62" s="63"/>
    </row>
    <row r="63" spans="1:3" ht="15">
      <c r="A63" s="61"/>
      <c r="B63" s="456" t="s">
        <v>849</v>
      </c>
      <c r="C63" s="63"/>
    </row>
    <row r="64" spans="1:3" ht="15">
      <c r="A64" s="458">
        <f>A61+1</f>
        <v>52</v>
      </c>
      <c r="B64" s="459" t="s">
        <v>850</v>
      </c>
      <c r="C64" s="459" t="s">
        <v>1812</v>
      </c>
    </row>
    <row r="65" spans="1:3" ht="15">
      <c r="A65" s="458">
        <f>A64+1</f>
        <v>53</v>
      </c>
      <c r="B65" s="459" t="s">
        <v>851</v>
      </c>
      <c r="C65" s="459" t="s">
        <v>1813</v>
      </c>
    </row>
    <row r="66" spans="1:3" ht="15">
      <c r="A66" s="458">
        <f>A65+1</f>
        <v>54</v>
      </c>
      <c r="B66" s="459" t="s">
        <v>852</v>
      </c>
      <c r="C66" s="459" t="s">
        <v>1814</v>
      </c>
    </row>
    <row r="67" spans="1:3" ht="15">
      <c r="A67" s="458">
        <f>A66+1</f>
        <v>55</v>
      </c>
      <c r="B67" s="459" t="s">
        <v>853</v>
      </c>
      <c r="C67" s="459" t="s">
        <v>1815</v>
      </c>
    </row>
    <row r="68" spans="1:3" ht="15">
      <c r="A68" s="458">
        <f>A67+1</f>
        <v>56</v>
      </c>
      <c r="B68" s="459" t="s">
        <v>854</v>
      </c>
      <c r="C68" s="459" t="s">
        <v>1816</v>
      </c>
    </row>
    <row r="69" spans="1:3" ht="15">
      <c r="A69" s="458">
        <f>A68+1</f>
        <v>57</v>
      </c>
      <c r="B69" s="459" t="s">
        <v>855</v>
      </c>
      <c r="C69" s="459" t="s">
        <v>1815</v>
      </c>
    </row>
    <row r="70" spans="1:3" ht="15">
      <c r="A70" s="458">
        <f>+A69+1</f>
        <v>58</v>
      </c>
      <c r="B70" s="459" t="s">
        <v>856</v>
      </c>
      <c r="C70" s="459" t="s">
        <v>1817</v>
      </c>
    </row>
    <row r="71" spans="1:3" ht="15">
      <c r="A71" s="458">
        <f t="shared" ref="A71:A79" si="4">+A70+1</f>
        <v>59</v>
      </c>
      <c r="B71" s="459" t="s">
        <v>857</v>
      </c>
      <c r="C71" s="459" t="s">
        <v>1818</v>
      </c>
    </row>
    <row r="72" spans="1:3" ht="15">
      <c r="A72" s="458">
        <f t="shared" si="4"/>
        <v>60</v>
      </c>
      <c r="B72" s="459" t="s">
        <v>858</v>
      </c>
      <c r="C72" s="459" t="s">
        <v>1819</v>
      </c>
    </row>
    <row r="73" spans="1:3" ht="15">
      <c r="A73" s="458">
        <f t="shared" si="4"/>
        <v>61</v>
      </c>
      <c r="B73" s="459" t="s">
        <v>859</v>
      </c>
      <c r="C73" s="459" t="s">
        <v>1820</v>
      </c>
    </row>
    <row r="74" spans="1:3" ht="15">
      <c r="A74" s="458">
        <f t="shared" si="4"/>
        <v>62</v>
      </c>
      <c r="B74" s="459" t="s">
        <v>860</v>
      </c>
      <c r="C74" s="459" t="s">
        <v>1821</v>
      </c>
    </row>
    <row r="75" spans="1:3" ht="15">
      <c r="A75" s="458">
        <f t="shared" si="4"/>
        <v>63</v>
      </c>
      <c r="B75" s="459" t="s">
        <v>861</v>
      </c>
      <c r="C75" s="459" t="s">
        <v>1822</v>
      </c>
    </row>
    <row r="76" spans="1:3" ht="15">
      <c r="A76" s="458">
        <f t="shared" si="4"/>
        <v>64</v>
      </c>
      <c r="B76" s="459" t="s">
        <v>862</v>
      </c>
      <c r="C76" s="459" t="s">
        <v>1822</v>
      </c>
    </row>
    <row r="77" spans="1:3" ht="15">
      <c r="A77" s="458">
        <f t="shared" si="4"/>
        <v>65</v>
      </c>
      <c r="B77" s="459" t="s">
        <v>863</v>
      </c>
      <c r="C77" s="459" t="s">
        <v>1823</v>
      </c>
    </row>
    <row r="78" spans="1:3" ht="15">
      <c r="A78" s="458">
        <f t="shared" si="4"/>
        <v>66</v>
      </c>
      <c r="B78" s="459" t="s">
        <v>1824</v>
      </c>
      <c r="C78" s="459" t="s">
        <v>1825</v>
      </c>
    </row>
    <row r="79" spans="1:3" ht="15">
      <c r="A79" s="458">
        <f t="shared" si="4"/>
        <v>67</v>
      </c>
      <c r="B79" s="459" t="s">
        <v>864</v>
      </c>
      <c r="C79" s="459" t="s">
        <v>1826</v>
      </c>
    </row>
    <row r="80" spans="1:3" ht="15">
      <c r="A80" s="458">
        <f>A79+1</f>
        <v>68</v>
      </c>
      <c r="B80" s="459" t="s">
        <v>1579</v>
      </c>
      <c r="C80" s="459" t="s">
        <v>1827</v>
      </c>
    </row>
    <row r="81" spans="1:26" ht="15">
      <c r="A81" s="458"/>
      <c r="B81" s="459"/>
      <c r="C81" s="63"/>
    </row>
    <row r="82" spans="1:26" ht="15">
      <c r="A82" s="458"/>
      <c r="B82" s="456" t="s">
        <v>865</v>
      </c>
      <c r="C82" s="63"/>
    </row>
    <row r="83" spans="1:26" ht="15">
      <c r="A83" s="458">
        <f>A80+1</f>
        <v>69</v>
      </c>
      <c r="B83" s="459" t="s">
        <v>866</v>
      </c>
      <c r="C83" s="459" t="s">
        <v>1828</v>
      </c>
    </row>
    <row r="84" spans="1:26" ht="15">
      <c r="A84" s="458">
        <f>+A83+1</f>
        <v>70</v>
      </c>
      <c r="B84" s="459" t="s">
        <v>867</v>
      </c>
      <c r="C84" s="459" t="s">
        <v>1829</v>
      </c>
    </row>
    <row r="85" spans="1:26" ht="15">
      <c r="A85" s="458">
        <f>+A84+1</f>
        <v>71</v>
      </c>
      <c r="B85" s="459" t="s">
        <v>868</v>
      </c>
      <c r="C85" s="459" t="s">
        <v>1830</v>
      </c>
    </row>
    <row r="86" spans="1:26" ht="15">
      <c r="A86" s="458">
        <f>+A85+1</f>
        <v>72</v>
      </c>
      <c r="B86" s="459" t="s">
        <v>869</v>
      </c>
      <c r="C86" s="459" t="s">
        <v>1831</v>
      </c>
    </row>
    <row r="87" spans="1:26" ht="15">
      <c r="A87" s="458">
        <f>+A86+1</f>
        <v>73</v>
      </c>
      <c r="B87" s="459" t="s">
        <v>870</v>
      </c>
      <c r="C87" s="459" t="s">
        <v>1832</v>
      </c>
    </row>
    <row r="88" spans="1:26" ht="15">
      <c r="A88" s="458">
        <f>+A87+1</f>
        <v>74</v>
      </c>
      <c r="B88" s="459" t="s">
        <v>871</v>
      </c>
      <c r="C88" s="459" t="s">
        <v>1833</v>
      </c>
    </row>
    <row r="89" spans="1:26" ht="15">
      <c r="A89" s="458"/>
      <c r="B89" s="459"/>
      <c r="C89" s="63"/>
    </row>
    <row r="90" spans="1:26" ht="15">
      <c r="A90" s="458"/>
      <c r="B90" s="456" t="s">
        <v>982</v>
      </c>
      <c r="C90" s="63"/>
    </row>
    <row r="91" spans="1:26" ht="15">
      <c r="A91" s="458">
        <f>A88+1</f>
        <v>75</v>
      </c>
      <c r="B91" s="459" t="s">
        <v>863</v>
      </c>
      <c r="C91" s="63" t="s">
        <v>1823</v>
      </c>
    </row>
    <row r="92" spans="1:26" ht="15">
      <c r="A92" s="458"/>
      <c r="B92" s="459"/>
      <c r="C92" s="63"/>
    </row>
    <row r="93" spans="1:26" ht="15">
      <c r="A93" s="458"/>
      <c r="B93" s="456" t="s">
        <v>780</v>
      </c>
      <c r="C93" s="63"/>
    </row>
    <row r="94" spans="1:26" ht="15">
      <c r="A94" s="458">
        <f>A91+1</f>
        <v>76</v>
      </c>
      <c r="B94" s="459" t="s">
        <v>983</v>
      </c>
      <c r="C94" s="63" t="s">
        <v>1834</v>
      </c>
    </row>
    <row r="95" spans="1:26" ht="15">
      <c r="A95" s="458">
        <f>A94+1</f>
        <v>77</v>
      </c>
      <c r="B95" s="459" t="s">
        <v>984</v>
      </c>
      <c r="C95" s="63" t="s">
        <v>1834</v>
      </c>
    </row>
    <row r="96" spans="1:26" s="65" customFormat="1" ht="15" customHeight="1">
      <c r="A96" s="458">
        <f>A95+1</f>
        <v>78</v>
      </c>
      <c r="B96" s="459" t="s">
        <v>985</v>
      </c>
      <c r="C96" s="63" t="s">
        <v>1834</v>
      </c>
      <c r="D96" s="64"/>
      <c r="E96" s="64"/>
      <c r="F96" s="64"/>
      <c r="G96" s="64"/>
      <c r="H96" s="64"/>
      <c r="I96" s="64"/>
      <c r="J96" s="64"/>
      <c r="K96" s="64"/>
      <c r="L96" s="64"/>
      <c r="M96" s="64"/>
      <c r="N96" s="64"/>
      <c r="O96" s="64"/>
      <c r="P96" s="64"/>
      <c r="Q96" s="64"/>
      <c r="R96" s="64"/>
      <c r="S96" s="64"/>
      <c r="T96" s="64"/>
      <c r="U96" s="64"/>
      <c r="V96" s="64"/>
      <c r="W96" s="64"/>
      <c r="X96" s="64"/>
      <c r="Y96" s="64"/>
      <c r="Z96" s="64"/>
    </row>
    <row r="97" spans="1:5" ht="15">
      <c r="A97" s="458">
        <f>A96+1</f>
        <v>79</v>
      </c>
      <c r="B97" s="459" t="s">
        <v>986</v>
      </c>
      <c r="C97" s="63" t="s">
        <v>1835</v>
      </c>
    </row>
    <row r="98" spans="1:5" ht="15">
      <c r="A98" s="458"/>
      <c r="B98" s="460" t="s">
        <v>872</v>
      </c>
      <c r="C98" s="63"/>
    </row>
    <row r="99" spans="1:5" ht="15">
      <c r="A99" s="458">
        <f>A97+1</f>
        <v>80</v>
      </c>
      <c r="B99" s="459" t="s">
        <v>873</v>
      </c>
      <c r="C99" s="63" t="s">
        <v>1836</v>
      </c>
      <c r="E99" s="66"/>
    </row>
    <row r="100" spans="1:5" ht="15">
      <c r="A100" s="458">
        <f>A99+1</f>
        <v>81</v>
      </c>
      <c r="B100" s="459" t="s">
        <v>874</v>
      </c>
      <c r="C100" s="63" t="s">
        <v>1837</v>
      </c>
    </row>
    <row r="101" spans="1:5" ht="15">
      <c r="A101" s="458"/>
      <c r="B101" s="459"/>
      <c r="C101" s="63"/>
    </row>
    <row r="102" spans="1:5" ht="15">
      <c r="A102" s="458"/>
      <c r="B102" s="456" t="s">
        <v>875</v>
      </c>
      <c r="C102" s="63"/>
    </row>
    <row r="103" spans="1:5" ht="15">
      <c r="A103" s="458">
        <f>A100+1</f>
        <v>82</v>
      </c>
      <c r="B103" s="459" t="s">
        <v>876</v>
      </c>
      <c r="C103" s="63" t="s">
        <v>1838</v>
      </c>
    </row>
    <row r="104" spans="1:5" ht="15">
      <c r="A104" s="458">
        <f>+A103+1</f>
        <v>83</v>
      </c>
      <c r="B104" s="459" t="s">
        <v>877</v>
      </c>
      <c r="C104" s="63" t="s">
        <v>1839</v>
      </c>
    </row>
    <row r="105" spans="1:5" ht="15">
      <c r="A105" s="458">
        <f>+A104+1</f>
        <v>84</v>
      </c>
      <c r="B105" s="459" t="s">
        <v>878</v>
      </c>
      <c r="C105" s="63" t="s">
        <v>1840</v>
      </c>
    </row>
    <row r="106" spans="1:5" ht="15">
      <c r="A106" s="458">
        <f>+A105+1</f>
        <v>85</v>
      </c>
      <c r="B106" s="459" t="s">
        <v>879</v>
      </c>
      <c r="C106" s="63" t="s">
        <v>1841</v>
      </c>
    </row>
    <row r="107" spans="1:5" ht="15">
      <c r="A107" s="458">
        <f>+A106+1</f>
        <v>86</v>
      </c>
      <c r="B107" s="459" t="s">
        <v>880</v>
      </c>
      <c r="C107" s="63" t="s">
        <v>1842</v>
      </c>
    </row>
    <row r="108" spans="1:5" ht="15">
      <c r="A108" s="458">
        <f>+A107+1</f>
        <v>87</v>
      </c>
      <c r="B108" s="459" t="s">
        <v>1580</v>
      </c>
      <c r="C108" s="459" t="s">
        <v>1843</v>
      </c>
    </row>
  </sheetData>
  <mergeCells count="2">
    <mergeCell ref="A1:C1"/>
    <mergeCell ref="A2:C2"/>
  </mergeCells>
  <printOptions horizontalCentered="1"/>
  <pageMargins left="0.59" right="0.39500000000000002" top="0.74803149606299202" bottom="0.74803149606299202" header="0.31496062992126" footer="0.31496062992126"/>
  <pageSetup paperSize="9" scale="88" fitToWidth="0" fitToHeight="0" orientation="portrait" r:id="rId1"/>
  <headerFooter scaleWithDoc="0">
    <oddHeader>&amp;L&amp;"Arial,Regular"&amp;10Proposed Working Women's Hostels for TNWWHSB at Tiruvannamalai.&amp;R&amp;A</oddHeader>
    <oddFooter>&amp;L&amp;"Arial,Regular"&amp;10DIUS Design Consultants Pvt Ltd&amp;C&amp;"Arial,Regular"&amp;10&amp;P of &amp;N&amp;R&amp;"Arial,Regular"&amp;10Knight Frank (India) Pvt Ltd</oddFooter>
  </headerFooter>
  <rowBreaks count="1" manualBreakCount="1">
    <brk id="53" max="2" man="1"/>
  </rowBreaks>
</worksheet>
</file>

<file path=xl/worksheets/sheet2.xml><?xml version="1.0" encoding="utf-8"?>
<worksheet xmlns="http://schemas.openxmlformats.org/spreadsheetml/2006/main" xmlns:r="http://schemas.openxmlformats.org/officeDocument/2006/relationships">
  <dimension ref="A1:J298"/>
  <sheetViews>
    <sheetView view="pageBreakPreview" zoomScale="85" zoomScaleNormal="70" zoomScaleSheetLayoutView="85" workbookViewId="0">
      <pane ySplit="3" topLeftCell="A16" activePane="bottomLeft" state="frozen"/>
      <selection activeCell="E40" sqref="E40"/>
      <selection pane="bottomLeft" activeCell="E10" sqref="E10"/>
    </sheetView>
  </sheetViews>
  <sheetFormatPr defaultColWidth="15.85546875" defaultRowHeight="18"/>
  <cols>
    <col min="1" max="1" width="6.7109375" style="94" bestFit="1" customWidth="1"/>
    <col min="2" max="2" width="16.28515625" style="95" customWidth="1"/>
    <col min="3" max="3" width="75" style="71" customWidth="1"/>
    <col min="4" max="4" width="8.7109375" style="451" customWidth="1"/>
    <col min="5" max="5" width="18.140625" style="96" bestFit="1" customWidth="1"/>
    <col min="6" max="6" width="22.85546875" style="96" bestFit="1" customWidth="1"/>
    <col min="7" max="7" width="24" style="71" bestFit="1" customWidth="1"/>
    <col min="8" max="8" width="43.7109375" style="71" customWidth="1"/>
    <col min="9" max="9" width="20.85546875" style="71" bestFit="1" customWidth="1"/>
    <col min="10" max="10" width="22.140625" style="71" bestFit="1" customWidth="1"/>
    <col min="11" max="16384" width="15.85546875" style="71"/>
  </cols>
  <sheetData>
    <row r="1" spans="1:6" ht="55.9" customHeight="1">
      <c r="A1" s="711" t="str">
        <f>+Summary!A1</f>
        <v>Estimate for construction of Proposed Working Women's Hostels at Tiruvannamalai.</v>
      </c>
      <c r="B1" s="711"/>
      <c r="C1" s="711"/>
      <c r="D1" s="711"/>
      <c r="E1" s="711"/>
      <c r="F1" s="711"/>
    </row>
    <row r="2" spans="1:6" ht="30" customHeight="1">
      <c r="A2" s="711"/>
      <c r="B2" s="711"/>
      <c r="C2" s="711"/>
      <c r="D2" s="711"/>
      <c r="E2" s="711"/>
      <c r="F2" s="711"/>
    </row>
    <row r="3" spans="1:6" ht="49.9" customHeight="1">
      <c r="A3" s="72" t="s">
        <v>149</v>
      </c>
      <c r="B3" s="73" t="s">
        <v>148</v>
      </c>
      <c r="C3" s="74" t="s">
        <v>147</v>
      </c>
      <c r="D3" s="75" t="s">
        <v>146</v>
      </c>
      <c r="E3" s="76" t="s">
        <v>145</v>
      </c>
      <c r="F3" s="76" t="s">
        <v>564</v>
      </c>
    </row>
    <row r="4" spans="1:6">
      <c r="A4" s="77"/>
      <c r="B4" s="46"/>
      <c r="C4" s="37" t="s">
        <v>659</v>
      </c>
      <c r="D4" s="47"/>
      <c r="E4" s="48"/>
      <c r="F4" s="48"/>
    </row>
    <row r="5" spans="1:6" ht="216">
      <c r="A5" s="77">
        <v>1</v>
      </c>
      <c r="B5" s="46"/>
      <c r="C5" s="78" t="s">
        <v>1397</v>
      </c>
      <c r="D5" s="47"/>
      <c r="E5" s="48"/>
      <c r="F5" s="48"/>
    </row>
    <row r="6" spans="1:6" ht="347.25" customHeight="1">
      <c r="A6" s="77"/>
      <c r="B6" s="46"/>
      <c r="C6" s="78" t="s">
        <v>559</v>
      </c>
      <c r="D6" s="47"/>
      <c r="E6" s="48"/>
      <c r="F6" s="48"/>
    </row>
    <row r="7" spans="1:6" ht="316.5" customHeight="1">
      <c r="A7" s="77"/>
      <c r="B7" s="46"/>
      <c r="C7" s="78" t="s">
        <v>1647</v>
      </c>
      <c r="D7" s="47"/>
      <c r="E7" s="48"/>
      <c r="F7" s="48"/>
    </row>
    <row r="8" spans="1:6">
      <c r="A8" s="77"/>
      <c r="B8" s="46"/>
      <c r="C8" s="37" t="s">
        <v>142</v>
      </c>
      <c r="D8" s="47"/>
      <c r="E8" s="48"/>
      <c r="F8" s="48"/>
    </row>
    <row r="9" spans="1:6">
      <c r="A9" s="77" t="s">
        <v>71</v>
      </c>
      <c r="B9" s="46">
        <f>'Detailed Estimate'!J111</f>
        <v>971</v>
      </c>
      <c r="C9" s="49" t="s">
        <v>1392</v>
      </c>
      <c r="D9" s="47" t="s">
        <v>52</v>
      </c>
      <c r="E9" s="165">
        <f>Data!G71</f>
        <v>224.81666666666666</v>
      </c>
      <c r="F9" s="50">
        <f>IF((B9="Qro"),"-",B9*E9)</f>
        <v>218296.98333333334</v>
      </c>
    </row>
    <row r="10" spans="1:6">
      <c r="A10" s="77" t="s">
        <v>70</v>
      </c>
      <c r="B10" s="46">
        <f>'Detailed Estimate'!J118</f>
        <v>184</v>
      </c>
      <c r="C10" s="49" t="s">
        <v>1393</v>
      </c>
      <c r="D10" s="47" t="s">
        <v>52</v>
      </c>
      <c r="E10" s="165">
        <f>Data!G80</f>
        <v>118.21666666666667</v>
      </c>
      <c r="F10" s="50">
        <f t="shared" ref="F10" si="0">IF((B10="Qro"),"-",B10*E10)</f>
        <v>21751.866666666669</v>
      </c>
    </row>
    <row r="11" spans="1:6">
      <c r="A11" s="77"/>
      <c r="B11" s="46"/>
      <c r="C11" s="37" t="s">
        <v>143</v>
      </c>
      <c r="D11" s="47"/>
      <c r="E11" s="165"/>
      <c r="F11" s="50"/>
    </row>
    <row r="12" spans="1:6">
      <c r="A12" s="77" t="s">
        <v>67</v>
      </c>
      <c r="B12" s="46">
        <f>'Detailed Estimate'!J121</f>
        <v>10</v>
      </c>
      <c r="C12" s="49" t="s">
        <v>1392</v>
      </c>
      <c r="D12" s="47" t="s">
        <v>52</v>
      </c>
      <c r="E12" s="165">
        <f>Data!G87</f>
        <v>235.01666666666665</v>
      </c>
      <c r="F12" s="50">
        <f>IF((B12="Qro"),"-",B12*E12)</f>
        <v>2350.1666666666665</v>
      </c>
    </row>
    <row r="13" spans="1:6">
      <c r="A13" s="77" t="s">
        <v>124</v>
      </c>
      <c r="B13" s="197">
        <f>'Detailed Estimate'!J127</f>
        <v>57</v>
      </c>
      <c r="C13" s="49" t="s">
        <v>1394</v>
      </c>
      <c r="D13" s="47" t="s">
        <v>52</v>
      </c>
      <c r="E13" s="165">
        <f>Data!G94</f>
        <v>128.41666666666666</v>
      </c>
      <c r="F13" s="50">
        <f t="shared" ref="F13" si="1">IF((B13="Qro"),"-",B13*E13)</f>
        <v>7319.7499999999991</v>
      </c>
    </row>
    <row r="14" spans="1:6">
      <c r="A14" s="77"/>
      <c r="B14" s="197"/>
      <c r="C14" s="37" t="s">
        <v>1395</v>
      </c>
      <c r="D14" s="47"/>
      <c r="E14" s="165"/>
      <c r="F14" s="50"/>
    </row>
    <row r="15" spans="1:6">
      <c r="A15" s="77" t="s">
        <v>528</v>
      </c>
      <c r="B15" s="197">
        <f>'Detailed Estimate'!J131</f>
        <v>25</v>
      </c>
      <c r="C15" s="49" t="s">
        <v>1299</v>
      </c>
      <c r="D15" s="47" t="s">
        <v>52</v>
      </c>
      <c r="E15" s="165">
        <f>Data!G102</f>
        <v>138.61666666666665</v>
      </c>
      <c r="F15" s="50">
        <f t="shared" ref="F15" si="2">IF((B15="Qro"),"-",B15*E15)</f>
        <v>3465.4166666666661</v>
      </c>
    </row>
    <row r="16" spans="1:6">
      <c r="A16" s="77"/>
      <c r="B16" s="197"/>
      <c r="C16" s="37" t="s">
        <v>1396</v>
      </c>
      <c r="D16" s="47"/>
      <c r="E16" s="165"/>
      <c r="F16" s="50"/>
    </row>
    <row r="17" spans="1:7">
      <c r="A17" s="77" t="s">
        <v>578</v>
      </c>
      <c r="B17" s="197">
        <f>'Detailed Estimate'!J134</f>
        <v>25</v>
      </c>
      <c r="C17" s="49" t="s">
        <v>1299</v>
      </c>
      <c r="D17" s="47" t="s">
        <v>52</v>
      </c>
      <c r="E17" s="165">
        <f>Data!G110</f>
        <v>148.81666666666663</v>
      </c>
      <c r="F17" s="50">
        <f t="shared" ref="F17" si="3">IF((B17="Qro"),"-",B17*E17)</f>
        <v>3720.4166666666661</v>
      </c>
    </row>
    <row r="18" spans="1:7" ht="378">
      <c r="A18" s="77">
        <f>+A5+1</f>
        <v>2</v>
      </c>
      <c r="B18" s="46"/>
      <c r="C18" s="38" t="s">
        <v>141</v>
      </c>
      <c r="D18" s="47"/>
      <c r="E18" s="48"/>
      <c r="F18" s="48"/>
    </row>
    <row r="19" spans="1:7">
      <c r="A19" s="77" t="s">
        <v>71</v>
      </c>
      <c r="B19" s="46">
        <f>'Detailed Estimate'!J269</f>
        <v>144</v>
      </c>
      <c r="C19" s="80" t="s">
        <v>1648</v>
      </c>
      <c r="D19" s="47" t="s">
        <v>52</v>
      </c>
      <c r="E19" s="79">
        <f>Data!G118</f>
        <v>1478.53</v>
      </c>
      <c r="F19" s="50">
        <f>IF((B19="Qro"),"-",B19*E19)</f>
        <v>212908.32</v>
      </c>
      <c r="G19" s="103"/>
    </row>
    <row r="20" spans="1:7">
      <c r="A20" s="77" t="s">
        <v>70</v>
      </c>
      <c r="B20" s="46">
        <f>'Detailed Estimate'!J300</f>
        <v>280</v>
      </c>
      <c r="C20" s="80" t="s">
        <v>529</v>
      </c>
      <c r="D20" s="47" t="s">
        <v>52</v>
      </c>
      <c r="E20" s="79">
        <f>Data!G125</f>
        <v>282.55</v>
      </c>
      <c r="F20" s="50">
        <f>IF((B20="Qro"),"-",B20*E20)</f>
        <v>79114</v>
      </c>
    </row>
    <row r="21" spans="1:7" ht="288">
      <c r="A21" s="77">
        <f>+A18+1</f>
        <v>3</v>
      </c>
      <c r="B21" s="46">
        <f>'Detailed Estimate'!J308</f>
        <v>638</v>
      </c>
      <c r="C21" s="49" t="s">
        <v>140</v>
      </c>
      <c r="D21" s="47" t="s">
        <v>52</v>
      </c>
      <c r="E21" s="48">
        <f>Data!G133</f>
        <v>256.64999999999998</v>
      </c>
      <c r="F21" s="50">
        <f>IF((B21="Qro"),"-",B21*E21)</f>
        <v>163742.69999999998</v>
      </c>
    </row>
    <row r="22" spans="1:7">
      <c r="A22" s="77"/>
      <c r="B22" s="46"/>
      <c r="C22" s="81" t="s">
        <v>540</v>
      </c>
      <c r="D22" s="47"/>
      <c r="E22" s="48"/>
      <c r="F22" s="82">
        <f>SUM(F5:F21)</f>
        <v>712669.61999999988</v>
      </c>
    </row>
    <row r="23" spans="1:7">
      <c r="A23" s="77"/>
      <c r="B23" s="46"/>
      <c r="C23" s="37" t="s">
        <v>139</v>
      </c>
      <c r="D23" s="79"/>
      <c r="E23" s="48"/>
      <c r="F23" s="48"/>
    </row>
    <row r="24" spans="1:7" ht="288">
      <c r="A24" s="77">
        <f>A21+1</f>
        <v>4</v>
      </c>
      <c r="B24" s="83"/>
      <c r="C24" s="49" t="s">
        <v>138</v>
      </c>
      <c r="D24" s="77"/>
      <c r="E24" s="48"/>
      <c r="F24" s="48"/>
    </row>
    <row r="25" spans="1:7" ht="154.5" customHeight="1">
      <c r="A25" s="77"/>
      <c r="B25" s="46"/>
      <c r="C25" s="49" t="s">
        <v>137</v>
      </c>
      <c r="D25" s="47"/>
      <c r="E25" s="48"/>
      <c r="F25" s="48"/>
    </row>
    <row r="26" spans="1:7" ht="108">
      <c r="A26" s="77"/>
      <c r="B26" s="46">
        <f>'Detailed Estimate'!J316</f>
        <v>630</v>
      </c>
      <c r="C26" s="49" t="s">
        <v>136</v>
      </c>
      <c r="D26" s="47" t="s">
        <v>9</v>
      </c>
      <c r="E26" s="48">
        <f>Data!G139</f>
        <v>85</v>
      </c>
      <c r="F26" s="50">
        <f>IF((B26="Qro"),"-",B26*E26)</f>
        <v>53550</v>
      </c>
    </row>
    <row r="27" spans="1:7">
      <c r="A27" s="77"/>
      <c r="B27" s="46"/>
      <c r="C27" s="81" t="s">
        <v>540</v>
      </c>
      <c r="D27" s="47"/>
      <c r="E27" s="48"/>
      <c r="F27" s="82">
        <f>SUM(F25:F26)</f>
        <v>53550</v>
      </c>
    </row>
    <row r="28" spans="1:7">
      <c r="A28" s="77"/>
      <c r="B28" s="46"/>
      <c r="C28" s="37" t="s">
        <v>135</v>
      </c>
      <c r="D28" s="79"/>
      <c r="E28" s="48"/>
      <c r="F28" s="48"/>
    </row>
    <row r="29" spans="1:7" ht="216">
      <c r="A29" s="77">
        <f>A24+1</f>
        <v>5</v>
      </c>
      <c r="B29" s="46">
        <f>'Detailed Estimate'!J425+'Detailed Estimate'!J3209</f>
        <v>83</v>
      </c>
      <c r="C29" s="38" t="s">
        <v>1649</v>
      </c>
      <c r="D29" s="47" t="s">
        <v>52</v>
      </c>
      <c r="E29" s="48">
        <f>Data!G151</f>
        <v>4716</v>
      </c>
      <c r="F29" s="50">
        <f>IF((B29="Qro"),"-",B29*E29)</f>
        <v>391428</v>
      </c>
      <c r="G29" s="103"/>
    </row>
    <row r="30" spans="1:7" ht="270">
      <c r="A30" s="77">
        <f>A29+1</f>
        <v>6</v>
      </c>
      <c r="B30" s="46">
        <f>'Detailed Estimate'!J429</f>
        <v>63</v>
      </c>
      <c r="C30" s="38" t="s">
        <v>1650</v>
      </c>
      <c r="D30" s="47" t="s">
        <v>52</v>
      </c>
      <c r="E30" s="48">
        <f>Data!G161</f>
        <v>5414</v>
      </c>
      <c r="F30" s="50">
        <f>IF((B30="Qro"),"-",B30*E30)</f>
        <v>341082</v>
      </c>
    </row>
    <row r="31" spans="1:7">
      <c r="A31" s="77"/>
      <c r="B31" s="46"/>
      <c r="C31" s="37" t="s">
        <v>134</v>
      </c>
      <c r="D31" s="47"/>
      <c r="E31" s="48"/>
      <c r="F31" s="48"/>
    </row>
    <row r="32" spans="1:7" ht="409.5">
      <c r="A32" s="77">
        <f>+A30+1</f>
        <v>7</v>
      </c>
      <c r="B32" s="46"/>
      <c r="C32" s="38" t="s">
        <v>1882</v>
      </c>
      <c r="D32" s="79"/>
      <c r="E32" s="48"/>
      <c r="F32" s="48"/>
    </row>
    <row r="33" spans="1:10">
      <c r="A33" s="77" t="s">
        <v>71</v>
      </c>
      <c r="B33" s="46">
        <f>'Detailed Estimate'!J613</f>
        <v>473</v>
      </c>
      <c r="C33" s="45" t="s">
        <v>133</v>
      </c>
      <c r="D33" s="79" t="s">
        <v>693</v>
      </c>
      <c r="E33" s="84">
        <f>Data!G185</f>
        <v>8055</v>
      </c>
      <c r="F33" s="50">
        <f t="shared" ref="F33:F40" si="4">IF((B33="Qro"),"-",B33*E33)</f>
        <v>3810015</v>
      </c>
      <c r="G33" s="234"/>
    </row>
    <row r="34" spans="1:10">
      <c r="A34" s="77" t="s">
        <v>70</v>
      </c>
      <c r="B34" s="46"/>
      <c r="C34" s="45" t="s">
        <v>12</v>
      </c>
      <c r="D34" s="79" t="s">
        <v>693</v>
      </c>
      <c r="E34" s="84">
        <f>Data!G186</f>
        <v>8169</v>
      </c>
      <c r="F34" s="50">
        <f>IF((B34="Qro"),"-",B34*E34)</f>
        <v>0</v>
      </c>
    </row>
    <row r="35" spans="1:10">
      <c r="A35" s="77" t="s">
        <v>69</v>
      </c>
      <c r="B35" s="46"/>
      <c r="C35" s="49" t="s">
        <v>123</v>
      </c>
      <c r="D35" s="79" t="s">
        <v>693</v>
      </c>
      <c r="E35" s="84">
        <f>Data!G187</f>
        <v>8393</v>
      </c>
      <c r="F35" s="50">
        <f>IF((B35="Qro"),"-",B35*E35)</f>
        <v>0</v>
      </c>
    </row>
    <row r="36" spans="1:10">
      <c r="A36" s="77" t="s">
        <v>68</v>
      </c>
      <c r="B36" s="46"/>
      <c r="C36" s="49" t="s">
        <v>122</v>
      </c>
      <c r="D36" s="79" t="s">
        <v>693</v>
      </c>
      <c r="E36" s="84">
        <f>Data!G188</f>
        <v>8617</v>
      </c>
      <c r="F36" s="50">
        <f>IF((B36="Qro"),"-",B36*E36)</f>
        <v>0</v>
      </c>
    </row>
    <row r="37" spans="1:10">
      <c r="A37" s="77" t="s">
        <v>67</v>
      </c>
      <c r="B37" s="46"/>
      <c r="C37" s="49" t="s">
        <v>553</v>
      </c>
      <c r="D37" s="79" t="s">
        <v>693</v>
      </c>
      <c r="E37" s="84">
        <f>Data!G189</f>
        <v>8841</v>
      </c>
      <c r="F37" s="50">
        <f>IF((B37="Qro"),"-",B37*E37)</f>
        <v>0</v>
      </c>
    </row>
    <row r="38" spans="1:10">
      <c r="A38" s="77" t="s">
        <v>124</v>
      </c>
      <c r="B38" s="46"/>
      <c r="C38" s="49" t="s">
        <v>25</v>
      </c>
      <c r="D38" s="79" t="s">
        <v>693</v>
      </c>
      <c r="E38" s="84">
        <f>Data!G190</f>
        <v>9065</v>
      </c>
      <c r="F38" s="50">
        <f>IF((B38="Qro"),"-",B38*E38)</f>
        <v>0</v>
      </c>
      <c r="G38" s="86"/>
    </row>
    <row r="39" spans="1:10" ht="409.5">
      <c r="A39" s="77">
        <f>A32+1</f>
        <v>8</v>
      </c>
      <c r="B39" s="46"/>
      <c r="C39" s="49" t="s">
        <v>1894</v>
      </c>
      <c r="D39" s="79"/>
      <c r="E39" s="84"/>
      <c r="F39" s="50"/>
      <c r="H39" s="257"/>
    </row>
    <row r="40" spans="1:10">
      <c r="A40" s="77" t="s">
        <v>71</v>
      </c>
      <c r="B40" s="46"/>
      <c r="C40" s="45" t="s">
        <v>133</v>
      </c>
      <c r="D40" s="476" t="s">
        <v>693</v>
      </c>
      <c r="E40" s="84">
        <f>Data!G214</f>
        <v>7700</v>
      </c>
      <c r="F40" s="50">
        <f t="shared" si="4"/>
        <v>0</v>
      </c>
    </row>
    <row r="41" spans="1:10">
      <c r="A41" s="77" t="s">
        <v>70</v>
      </c>
      <c r="B41" s="46">
        <f>'Detailed Estimate'!J790</f>
        <v>188</v>
      </c>
      <c r="C41" s="45" t="s">
        <v>12</v>
      </c>
      <c r="D41" s="476" t="s">
        <v>693</v>
      </c>
      <c r="E41" s="84">
        <f>Data!G215</f>
        <v>7813</v>
      </c>
      <c r="F41" s="50">
        <f>IF((B41="Qro"),"-",B41*E41)</f>
        <v>1468844</v>
      </c>
    </row>
    <row r="42" spans="1:10">
      <c r="A42" s="77" t="s">
        <v>69</v>
      </c>
      <c r="B42" s="46">
        <f>'Detailed Estimate'!J921</f>
        <v>156</v>
      </c>
      <c r="C42" s="49" t="s">
        <v>123</v>
      </c>
      <c r="D42" s="476" t="s">
        <v>693</v>
      </c>
      <c r="E42" s="84">
        <f>Data!G216</f>
        <v>8037</v>
      </c>
      <c r="F42" s="50">
        <f>IF((B42="Qro"),"-",B42*E42)</f>
        <v>1253772</v>
      </c>
    </row>
    <row r="43" spans="1:10">
      <c r="A43" s="77" t="s">
        <v>68</v>
      </c>
      <c r="B43" s="46">
        <f>'Detailed Estimate'!J961</f>
        <v>156</v>
      </c>
      <c r="C43" s="49" t="s">
        <v>122</v>
      </c>
      <c r="D43" s="476" t="s">
        <v>693</v>
      </c>
      <c r="E43" s="84">
        <f>Data!G217</f>
        <v>8261</v>
      </c>
      <c r="F43" s="50">
        <f>IF((B43="Qro"),"-",B43*E43)</f>
        <v>1288716</v>
      </c>
    </row>
    <row r="44" spans="1:10">
      <c r="A44" s="77" t="s">
        <v>67</v>
      </c>
      <c r="B44" s="46">
        <f>'Detailed Estimate'!J985</f>
        <v>156</v>
      </c>
      <c r="C44" s="49" t="s">
        <v>553</v>
      </c>
      <c r="D44" s="476" t="s">
        <v>693</v>
      </c>
      <c r="E44" s="84">
        <f>Data!G218</f>
        <v>8485</v>
      </c>
      <c r="F44" s="50">
        <f>IF((B44="Qro"),"-",B44*E44)</f>
        <v>1323660</v>
      </c>
    </row>
    <row r="45" spans="1:10">
      <c r="A45" s="77" t="s">
        <v>124</v>
      </c>
      <c r="B45" s="46">
        <f>'Detailed Estimate'!J1042</f>
        <v>74</v>
      </c>
      <c r="C45" s="49" t="s">
        <v>25</v>
      </c>
      <c r="D45" s="476" t="s">
        <v>693</v>
      </c>
      <c r="E45" s="84">
        <f>Data!G219</f>
        <v>8709</v>
      </c>
      <c r="F45" s="50">
        <f>IF((B45="Qro"),"-",B45*E45)</f>
        <v>644466</v>
      </c>
      <c r="G45" s="86"/>
      <c r="H45" s="86"/>
      <c r="J45" s="86"/>
    </row>
    <row r="46" spans="1:10" ht="198">
      <c r="A46" s="77">
        <f>A39+1</f>
        <v>9</v>
      </c>
      <c r="B46" s="46"/>
      <c r="C46" s="38" t="s">
        <v>1651</v>
      </c>
      <c r="D46" s="47"/>
      <c r="E46" s="48"/>
      <c r="F46" s="48"/>
    </row>
    <row r="47" spans="1:10" ht="36">
      <c r="A47" s="77" t="s">
        <v>71</v>
      </c>
      <c r="B47" s="46">
        <f>'Detailed Estimate'!J1046</f>
        <v>10</v>
      </c>
      <c r="C47" s="49" t="s">
        <v>132</v>
      </c>
      <c r="D47" s="47" t="s">
        <v>708</v>
      </c>
      <c r="E47" s="48">
        <f>Data!G238</f>
        <v>1669</v>
      </c>
      <c r="F47" s="50">
        <f>IF((B47="Qro"),"-",B47*E47)</f>
        <v>16690</v>
      </c>
    </row>
    <row r="48" spans="1:10" ht="378">
      <c r="A48" s="77">
        <f>A46+1</f>
        <v>10</v>
      </c>
      <c r="B48" s="46">
        <f>'Detailed Estimate'!J1048</f>
        <v>81</v>
      </c>
      <c r="C48" s="49" t="s">
        <v>1652</v>
      </c>
      <c r="D48" s="47" t="s">
        <v>708</v>
      </c>
      <c r="E48" s="48">
        <f>Data!G240</f>
        <v>950</v>
      </c>
      <c r="F48" s="50">
        <f>IF((B48="Qro"),"-",B48*E48)</f>
        <v>76950</v>
      </c>
    </row>
    <row r="49" spans="1:9" ht="288">
      <c r="A49" s="77">
        <f>A48+1</f>
        <v>11</v>
      </c>
      <c r="B49" s="46">
        <f>'Detailed Estimate'!J1063</f>
        <v>160</v>
      </c>
      <c r="C49" s="38" t="s">
        <v>1005</v>
      </c>
      <c r="D49" s="47" t="s">
        <v>131</v>
      </c>
      <c r="E49" s="48">
        <f>Data!G250</f>
        <v>89215.02</v>
      </c>
      <c r="F49" s="50">
        <f>IF((B49="Qro"),"-",B49*E49)</f>
        <v>14274403.200000001</v>
      </c>
      <c r="G49" s="234"/>
      <c r="I49" s="234"/>
    </row>
    <row r="50" spans="1:9">
      <c r="A50" s="77"/>
      <c r="B50" s="46"/>
      <c r="C50" s="81" t="s">
        <v>540</v>
      </c>
      <c r="D50" s="47"/>
      <c r="E50" s="48"/>
      <c r="F50" s="82">
        <f>SUM(F29:F49)</f>
        <v>24890026.200000003</v>
      </c>
    </row>
    <row r="51" spans="1:9">
      <c r="A51" s="77"/>
      <c r="B51" s="46"/>
      <c r="C51" s="37" t="s">
        <v>130</v>
      </c>
      <c r="D51" s="79"/>
      <c r="E51" s="48"/>
      <c r="F51" s="48"/>
    </row>
    <row r="52" spans="1:9" ht="252">
      <c r="A52" s="77">
        <f>A49+1</f>
        <v>12</v>
      </c>
      <c r="B52" s="46"/>
      <c r="C52" s="38" t="s">
        <v>129</v>
      </c>
      <c r="D52" s="79"/>
      <c r="E52" s="48"/>
      <c r="F52" s="48"/>
    </row>
    <row r="53" spans="1:9" ht="72">
      <c r="A53" s="77" t="s">
        <v>71</v>
      </c>
      <c r="B53" s="46">
        <f>'Detailed Estimate'!J1196</f>
        <v>910</v>
      </c>
      <c r="C53" s="49" t="s">
        <v>508</v>
      </c>
      <c r="D53" s="47" t="s">
        <v>9</v>
      </c>
      <c r="E53" s="48">
        <f>Data!G282</f>
        <v>812.33699999999999</v>
      </c>
      <c r="F53" s="50">
        <f t="shared" ref="F53:F58" si="5">IF((B53="Qro"),"-",B53*E53)</f>
        <v>739226.67</v>
      </c>
      <c r="G53" s="103"/>
    </row>
    <row r="54" spans="1:9" ht="72">
      <c r="A54" s="77" t="s">
        <v>70</v>
      </c>
      <c r="B54" s="46">
        <f>'Detailed Estimate'!J1565</f>
        <v>5020</v>
      </c>
      <c r="C54" s="49" t="s">
        <v>507</v>
      </c>
      <c r="D54" s="47" t="s">
        <v>9</v>
      </c>
      <c r="E54" s="48">
        <f>+Data!G296</f>
        <v>908.66300000000001</v>
      </c>
      <c r="F54" s="50">
        <f t="shared" si="5"/>
        <v>4561488.26</v>
      </c>
    </row>
    <row r="55" spans="1:9" ht="72">
      <c r="A55" s="77" t="s">
        <v>69</v>
      </c>
      <c r="B55" s="46">
        <f>'Detailed Estimate'!J1674</f>
        <v>2284</v>
      </c>
      <c r="C55" s="49" t="s">
        <v>128</v>
      </c>
      <c r="D55" s="47" t="s">
        <v>9</v>
      </c>
      <c r="E55" s="48">
        <f>Data!G304</f>
        <v>1090.9956000000002</v>
      </c>
      <c r="F55" s="50">
        <f t="shared" si="5"/>
        <v>2491833.9504000004</v>
      </c>
      <c r="G55" s="234"/>
    </row>
    <row r="56" spans="1:9" ht="72">
      <c r="A56" s="77" t="s">
        <v>68</v>
      </c>
      <c r="B56" s="46">
        <f>'Detailed Estimate'!J1702</f>
        <v>672</v>
      </c>
      <c r="C56" s="49" t="s">
        <v>127</v>
      </c>
      <c r="D56" s="47" t="s">
        <v>9</v>
      </c>
      <c r="E56" s="48">
        <f>Data!G312</f>
        <v>999.8293000000001</v>
      </c>
      <c r="F56" s="50">
        <f t="shared" si="5"/>
        <v>671885.28960000002</v>
      </c>
    </row>
    <row r="57" spans="1:9" ht="90">
      <c r="A57" s="77" t="s">
        <v>67</v>
      </c>
      <c r="B57" s="46">
        <f>'Detailed Estimate'!J1717</f>
        <v>37</v>
      </c>
      <c r="C57" s="49" t="s">
        <v>126</v>
      </c>
      <c r="D57" s="47" t="s">
        <v>9</v>
      </c>
      <c r="E57" s="48">
        <f>+Data!G320</f>
        <v>1362.9945000000002</v>
      </c>
      <c r="F57" s="50">
        <f t="shared" si="5"/>
        <v>50430.796500000011</v>
      </c>
    </row>
    <row r="58" spans="1:9" ht="306">
      <c r="A58" s="77">
        <f>A52+1</f>
        <v>13</v>
      </c>
      <c r="B58" s="46">
        <f>'Detailed Estimate'!J1719</f>
        <v>10</v>
      </c>
      <c r="C58" s="49" t="s">
        <v>526</v>
      </c>
      <c r="D58" s="47" t="s">
        <v>9</v>
      </c>
      <c r="E58" s="48">
        <f>Data!G340</f>
        <v>32.227999999999994</v>
      </c>
      <c r="F58" s="50">
        <f t="shared" si="5"/>
        <v>322.27999999999997</v>
      </c>
    </row>
    <row r="59" spans="1:9">
      <c r="A59" s="77"/>
      <c r="B59" s="46"/>
      <c r="C59" s="81" t="s">
        <v>540</v>
      </c>
      <c r="D59" s="47"/>
      <c r="E59" s="48"/>
      <c r="F59" s="82">
        <f>SUM(F53:F58)</f>
        <v>8515187.2464999985</v>
      </c>
    </row>
    <row r="60" spans="1:9">
      <c r="A60" s="77"/>
      <c r="B60" s="46"/>
      <c r="C60" s="85" t="s">
        <v>125</v>
      </c>
      <c r="D60" s="79"/>
      <c r="E60" s="48"/>
      <c r="F60" s="48"/>
    </row>
    <row r="61" spans="1:9" ht="306">
      <c r="A61" s="77">
        <f>A58+1</f>
        <v>14</v>
      </c>
      <c r="B61" s="46"/>
      <c r="C61" s="38" t="s">
        <v>530</v>
      </c>
      <c r="D61" s="47"/>
      <c r="E61" s="48"/>
      <c r="F61" s="48"/>
    </row>
    <row r="62" spans="1:9">
      <c r="A62" s="77"/>
      <c r="B62" s="83"/>
      <c r="C62" s="49" t="s">
        <v>537</v>
      </c>
      <c r="D62" s="47"/>
      <c r="E62" s="84"/>
      <c r="F62" s="50"/>
    </row>
    <row r="63" spans="1:9">
      <c r="A63" s="77" t="s">
        <v>71</v>
      </c>
      <c r="B63" s="83">
        <f>'Detailed Estimate'!J1752</f>
        <v>228</v>
      </c>
      <c r="C63" s="45" t="s">
        <v>790</v>
      </c>
      <c r="D63" s="47" t="s">
        <v>9</v>
      </c>
      <c r="E63" s="84">
        <f>Data!E345</f>
        <v>1425</v>
      </c>
      <c r="F63" s="50">
        <f t="shared" ref="F63:F64" si="6">IF((B63="Qro"),"-",B63*E63)</f>
        <v>324900</v>
      </c>
      <c r="G63" s="234"/>
    </row>
    <row r="64" spans="1:9">
      <c r="A64" s="77" t="s">
        <v>70</v>
      </c>
      <c r="B64" s="46">
        <f>'Detailed Estimate'!J1755</f>
        <v>10</v>
      </c>
      <c r="C64" s="45" t="s">
        <v>791</v>
      </c>
      <c r="D64" s="47" t="s">
        <v>9</v>
      </c>
      <c r="E64" s="84">
        <f>Data!E347</f>
        <v>1275</v>
      </c>
      <c r="F64" s="50">
        <f t="shared" si="6"/>
        <v>12750</v>
      </c>
    </row>
    <row r="65" spans="1:8">
      <c r="A65" s="77"/>
      <c r="B65" s="83"/>
      <c r="C65" s="49"/>
      <c r="D65" s="47"/>
      <c r="E65" s="84"/>
      <c r="F65" s="50"/>
    </row>
    <row r="66" spans="1:8" ht="90">
      <c r="A66" s="77">
        <f>A61+1</f>
        <v>15</v>
      </c>
      <c r="B66" s="83"/>
      <c r="C66" s="273" t="s">
        <v>1606</v>
      </c>
      <c r="D66" s="47"/>
      <c r="E66" s="84"/>
      <c r="F66" s="50"/>
    </row>
    <row r="67" spans="1:8" ht="162">
      <c r="A67" s="77"/>
      <c r="B67" s="83"/>
      <c r="C67" s="49" t="s">
        <v>662</v>
      </c>
      <c r="D67" s="47"/>
      <c r="E67" s="84"/>
      <c r="F67" s="50"/>
    </row>
    <row r="68" spans="1:8" ht="198">
      <c r="A68" s="77"/>
      <c r="B68" s="83"/>
      <c r="C68" s="49" t="s">
        <v>663</v>
      </c>
      <c r="D68" s="47"/>
      <c r="E68" s="84"/>
      <c r="F68" s="50"/>
    </row>
    <row r="69" spans="1:8" ht="72">
      <c r="A69" s="77"/>
      <c r="B69" s="83"/>
      <c r="C69" s="49" t="s">
        <v>664</v>
      </c>
      <c r="D69" s="47"/>
      <c r="E69" s="84"/>
      <c r="F69" s="50"/>
    </row>
    <row r="70" spans="1:8" ht="54">
      <c r="A70" s="77"/>
      <c r="B70" s="83"/>
      <c r="C70" s="49" t="s">
        <v>665</v>
      </c>
      <c r="D70" s="47"/>
      <c r="E70" s="84"/>
      <c r="F70" s="50"/>
    </row>
    <row r="71" spans="1:8" ht="90">
      <c r="A71" s="77"/>
      <c r="B71" s="83"/>
      <c r="C71" s="49" t="s">
        <v>666</v>
      </c>
      <c r="D71" s="47"/>
      <c r="E71" s="84"/>
      <c r="F71" s="50"/>
    </row>
    <row r="72" spans="1:8" ht="59.25" customHeight="1">
      <c r="A72" s="77" t="s">
        <v>63</v>
      </c>
      <c r="B72" s="83"/>
      <c r="C72" s="304" t="s">
        <v>1924</v>
      </c>
      <c r="D72" s="47"/>
      <c r="E72" s="84"/>
      <c r="F72" s="50"/>
    </row>
    <row r="73" spans="1:8" ht="24.95" customHeight="1">
      <c r="A73" s="77" t="s">
        <v>71</v>
      </c>
      <c r="B73" s="46">
        <f>'Detailed Estimate'!J1815</f>
        <v>1018</v>
      </c>
      <c r="C73" s="49" t="s">
        <v>12</v>
      </c>
      <c r="D73" s="47" t="s">
        <v>9</v>
      </c>
      <c r="E73" s="48">
        <f>+Data!G365</f>
        <v>1553.7618957404275</v>
      </c>
      <c r="F73" s="50">
        <f>IF((B73="Qro"),"-",B73*E73)</f>
        <v>1581729.6098637551</v>
      </c>
    </row>
    <row r="74" spans="1:8" ht="24.95" customHeight="1">
      <c r="A74" s="77" t="s">
        <v>70</v>
      </c>
      <c r="B74" s="46">
        <f>'Detailed Estimate'!J1862</f>
        <v>758.11000000000013</v>
      </c>
      <c r="C74" s="49" t="s">
        <v>123</v>
      </c>
      <c r="D74" s="47" t="s">
        <v>9</v>
      </c>
      <c r="E74" s="48">
        <f>+Data!G369</f>
        <v>1571.8698957404274</v>
      </c>
      <c r="F74" s="50">
        <f>IF((B74="Qro"),"-",B74*E74)</f>
        <v>1191650.2866597755</v>
      </c>
    </row>
    <row r="75" spans="1:8" ht="24.95" customHeight="1">
      <c r="A75" s="77" t="s">
        <v>69</v>
      </c>
      <c r="B75" s="46">
        <f>'Detailed Estimate'!J1872</f>
        <v>725.1400000000001</v>
      </c>
      <c r="C75" s="49" t="s">
        <v>122</v>
      </c>
      <c r="D75" s="47" t="s">
        <v>9</v>
      </c>
      <c r="E75" s="48">
        <f>+Data!G373</f>
        <v>1589.9778957404274</v>
      </c>
      <c r="F75" s="50">
        <f>IF((B75="Qro"),"-",B75*E75)</f>
        <v>1152956.5713172136</v>
      </c>
    </row>
    <row r="76" spans="1:8" ht="24.95" customHeight="1">
      <c r="A76" s="77" t="s">
        <v>68</v>
      </c>
      <c r="B76" s="46">
        <f>'Detailed Estimate'!J1881</f>
        <v>716.88000000000011</v>
      </c>
      <c r="C76" s="49" t="s">
        <v>553</v>
      </c>
      <c r="D76" s="47" t="s">
        <v>9</v>
      </c>
      <c r="E76" s="48">
        <f>+Data!G377</f>
        <v>1608.0858957404273</v>
      </c>
      <c r="F76" s="50">
        <f>IF((B76="Qro"),"-",B76*E76)</f>
        <v>1152804.6169383978</v>
      </c>
    </row>
    <row r="77" spans="1:8" ht="24.95" customHeight="1">
      <c r="A77" s="77" t="s">
        <v>67</v>
      </c>
      <c r="B77" s="46">
        <f>'Detailed Estimate'!J1889</f>
        <v>162</v>
      </c>
      <c r="C77" s="49" t="s">
        <v>25</v>
      </c>
      <c r="D77" s="47" t="s">
        <v>9</v>
      </c>
      <c r="E77" s="48">
        <f>Data!G381</f>
        <v>1626.1938957404273</v>
      </c>
      <c r="F77" s="50">
        <f>IF((B77="Qro"),"-",B77*E77)</f>
        <v>263443.41110994923</v>
      </c>
    </row>
    <row r="78" spans="1:8" ht="47.25" customHeight="1">
      <c r="A78" s="77" t="s">
        <v>691</v>
      </c>
      <c r="B78" s="46"/>
      <c r="C78" s="304" t="s">
        <v>1925</v>
      </c>
      <c r="D78" s="47"/>
      <c r="E78" s="48"/>
      <c r="F78" s="48"/>
      <c r="H78" s="87"/>
    </row>
    <row r="79" spans="1:8" ht="24.95" customHeight="1">
      <c r="A79" s="77" t="s">
        <v>71</v>
      </c>
      <c r="B79" s="46">
        <f>'Detailed Estimate'!J1904</f>
        <v>90</v>
      </c>
      <c r="C79" s="49" t="s">
        <v>12</v>
      </c>
      <c r="D79" s="47" t="s">
        <v>9</v>
      </c>
      <c r="E79" s="48">
        <f>Data!G397</f>
        <v>1070.5063840118278</v>
      </c>
      <c r="F79" s="50">
        <f>IF((B79="Qro"),"-",B79*E79)</f>
        <v>96345.574561064495</v>
      </c>
    </row>
    <row r="80" spans="1:8" ht="24.95" customHeight="1">
      <c r="A80" s="77" t="s">
        <v>70</v>
      </c>
      <c r="B80" s="46">
        <f>'Detailed Estimate'!J1920</f>
        <v>143</v>
      </c>
      <c r="C80" s="49" t="s">
        <v>123</v>
      </c>
      <c r="D80" s="47" t="s">
        <v>9</v>
      </c>
      <c r="E80" s="48">
        <f>Data!G401</f>
        <v>1088.6143840118277</v>
      </c>
      <c r="F80" s="50">
        <f>IF((B80="Qro"),"-",B80*E80)</f>
        <v>155671.85691369136</v>
      </c>
    </row>
    <row r="81" spans="1:9" ht="24.95" customHeight="1">
      <c r="A81" s="77" t="s">
        <v>69</v>
      </c>
      <c r="B81" s="46">
        <f>'Detailed Estimate'!J1923</f>
        <v>143</v>
      </c>
      <c r="C81" s="49" t="s">
        <v>122</v>
      </c>
      <c r="D81" s="47" t="s">
        <v>9</v>
      </c>
      <c r="E81" s="48">
        <f>Data!G405</f>
        <v>1106.7223840118277</v>
      </c>
      <c r="F81" s="50">
        <f>IF((B81="Qro"),"-",B81*E81)</f>
        <v>158261.30091369135</v>
      </c>
    </row>
    <row r="82" spans="1:9" ht="24.95" customHeight="1">
      <c r="A82" s="77" t="s">
        <v>68</v>
      </c>
      <c r="B82" s="46">
        <f>'Detailed Estimate'!J1926</f>
        <v>143</v>
      </c>
      <c r="C82" s="49" t="s">
        <v>553</v>
      </c>
      <c r="D82" s="47" t="s">
        <v>9</v>
      </c>
      <c r="E82" s="48">
        <f>Data!G409</f>
        <v>1124.8303840118276</v>
      </c>
      <c r="F82" s="50">
        <f>IF((B82="Qro"),"-",B82*E82)</f>
        <v>160850.74491369136</v>
      </c>
    </row>
    <row r="83" spans="1:9" ht="24.95" customHeight="1">
      <c r="A83" s="77" t="s">
        <v>67</v>
      </c>
      <c r="B83" s="46">
        <f>'Detailed Estimate'!J1928</f>
        <v>10</v>
      </c>
      <c r="C83" s="49" t="s">
        <v>25</v>
      </c>
      <c r="D83" s="47" t="s">
        <v>9</v>
      </c>
      <c r="E83" s="48">
        <f>Data!G413</f>
        <v>1142.9383840118276</v>
      </c>
      <c r="F83" s="50">
        <f t="shared" ref="F83" si="7">IF((B83="Qro"),"-",B83*E83)</f>
        <v>11429.383840118277</v>
      </c>
      <c r="G83" s="86"/>
      <c r="I83" s="86"/>
    </row>
    <row r="84" spans="1:9" ht="45" customHeight="1">
      <c r="A84" s="77" t="s">
        <v>692</v>
      </c>
      <c r="B84" s="46"/>
      <c r="C84" s="304" t="s">
        <v>1926</v>
      </c>
      <c r="D84" s="47"/>
      <c r="E84" s="48"/>
      <c r="F84" s="50"/>
    </row>
    <row r="85" spans="1:9" ht="24.95" customHeight="1">
      <c r="A85" s="77" t="s">
        <v>71</v>
      </c>
      <c r="B85" s="46">
        <f>'Detailed Estimate'!J1931</f>
        <v>10</v>
      </c>
      <c r="C85" s="49" t="s">
        <v>12</v>
      </c>
      <c r="D85" s="47" t="s">
        <v>9</v>
      </c>
      <c r="E85" s="48">
        <f>Data!G427</f>
        <v>1208.8686448084254</v>
      </c>
      <c r="F85" s="50">
        <f>IF((B85="Qro"),"-",B85*E85)</f>
        <v>12088.686448084254</v>
      </c>
    </row>
    <row r="86" spans="1:9" ht="24.95" customHeight="1">
      <c r="A86" s="77" t="s">
        <v>70</v>
      </c>
      <c r="B86" s="46">
        <f>'Detailed Estimate'!J1933</f>
        <v>10</v>
      </c>
      <c r="C86" s="49" t="s">
        <v>123</v>
      </c>
      <c r="D86" s="47" t="s">
        <v>9</v>
      </c>
      <c r="E86" s="48">
        <f>Data!G431</f>
        <v>1226.9766448084254</v>
      </c>
      <c r="F86" s="50">
        <f>IF((B86="Qro"),"-",B86*E86)</f>
        <v>12269.766448084254</v>
      </c>
    </row>
    <row r="87" spans="1:9" ht="24.95" customHeight="1">
      <c r="A87" s="77" t="s">
        <v>69</v>
      </c>
      <c r="B87" s="46">
        <f>'Detailed Estimate'!J1935</f>
        <v>10</v>
      </c>
      <c r="C87" s="49" t="s">
        <v>122</v>
      </c>
      <c r="D87" s="47" t="s">
        <v>9</v>
      </c>
      <c r="E87" s="48">
        <f>Data!G435</f>
        <v>1245.0846448084253</v>
      </c>
      <c r="F87" s="50">
        <f>IF((B87="Qro"),"-",B87*E87)</f>
        <v>12450.846448084252</v>
      </c>
    </row>
    <row r="88" spans="1:9" ht="24.95" customHeight="1">
      <c r="A88" s="77" t="s">
        <v>68</v>
      </c>
      <c r="B88" s="46">
        <f>'Detailed Estimate'!J1937</f>
        <v>10</v>
      </c>
      <c r="C88" s="49" t="s">
        <v>553</v>
      </c>
      <c r="D88" s="47" t="s">
        <v>9</v>
      </c>
      <c r="E88" s="48">
        <f>Data!G439</f>
        <v>1263.1926448084253</v>
      </c>
      <c r="F88" s="50">
        <f>IF((B88="Qro"),"-",B88*E88)</f>
        <v>12631.926448084252</v>
      </c>
    </row>
    <row r="89" spans="1:9" ht="24.95" customHeight="1">
      <c r="A89" s="77" t="s">
        <v>528</v>
      </c>
      <c r="B89" s="46">
        <f>'Detailed Estimate'!J1939</f>
        <v>10</v>
      </c>
      <c r="C89" s="49" t="s">
        <v>25</v>
      </c>
      <c r="D89" s="47" t="s">
        <v>9</v>
      </c>
      <c r="E89" s="48">
        <f>Data!G443</f>
        <v>1281.3006448084252</v>
      </c>
      <c r="F89" s="50">
        <f t="shared" ref="F89" si="8">IF((B89="Qro"),"-",B89*E89)</f>
        <v>12813.006448084252</v>
      </c>
    </row>
    <row r="90" spans="1:9" ht="144">
      <c r="A90" s="77">
        <f>A66+1</f>
        <v>16</v>
      </c>
      <c r="B90" s="46"/>
      <c r="C90" s="49" t="s">
        <v>1666</v>
      </c>
      <c r="D90" s="47"/>
      <c r="E90" s="48"/>
      <c r="F90" s="50"/>
    </row>
    <row r="91" spans="1:9" ht="24.95" customHeight="1">
      <c r="A91" s="77" t="s">
        <v>71</v>
      </c>
      <c r="B91" s="88">
        <f>'Detailed Estimate'!J1942</f>
        <v>10</v>
      </c>
      <c r="C91" s="49" t="s">
        <v>12</v>
      </c>
      <c r="D91" s="47" t="s">
        <v>52</v>
      </c>
      <c r="E91" s="48">
        <f>Data!G461</f>
        <v>6413.6703200000002</v>
      </c>
      <c r="F91" s="50">
        <f t="shared" ref="F91:F95" si="9">IF((B91="Qro"),"-",B91*E91)</f>
        <v>64136.703200000004</v>
      </c>
    </row>
    <row r="92" spans="1:9" ht="24.95" customHeight="1">
      <c r="A92" s="77" t="s">
        <v>70</v>
      </c>
      <c r="B92" s="88">
        <f>'Detailed Estimate'!J1944</f>
        <v>10</v>
      </c>
      <c r="C92" s="49" t="s">
        <v>123</v>
      </c>
      <c r="D92" s="47" t="s">
        <v>52</v>
      </c>
      <c r="E92" s="48">
        <f>Data!G465</f>
        <v>6564.5703199999998</v>
      </c>
      <c r="F92" s="50">
        <f t="shared" si="9"/>
        <v>65645.703200000004</v>
      </c>
    </row>
    <row r="93" spans="1:9" ht="24.95" customHeight="1">
      <c r="A93" s="77" t="s">
        <v>69</v>
      </c>
      <c r="B93" s="88">
        <f>'Detailed Estimate'!J1946</f>
        <v>10</v>
      </c>
      <c r="C93" s="49" t="s">
        <v>122</v>
      </c>
      <c r="D93" s="47" t="s">
        <v>52</v>
      </c>
      <c r="E93" s="48">
        <f>Data!G469</f>
        <v>6715.4703199999994</v>
      </c>
      <c r="F93" s="50">
        <f t="shared" si="9"/>
        <v>67154.703199999989</v>
      </c>
    </row>
    <row r="94" spans="1:9" ht="24.95" customHeight="1">
      <c r="A94" s="77" t="s">
        <v>68</v>
      </c>
      <c r="B94" s="88">
        <f>'Detailed Estimate'!J1948</f>
        <v>10</v>
      </c>
      <c r="C94" s="49" t="s">
        <v>553</v>
      </c>
      <c r="D94" s="47" t="s">
        <v>52</v>
      </c>
      <c r="E94" s="48">
        <f>Data!G473</f>
        <v>6866.3703199999991</v>
      </c>
      <c r="F94" s="50">
        <f t="shared" si="9"/>
        <v>68663.703199999989</v>
      </c>
    </row>
    <row r="95" spans="1:9" ht="24.95" customHeight="1">
      <c r="A95" s="77" t="s">
        <v>67</v>
      </c>
      <c r="B95" s="88">
        <f>'Detailed Estimate'!J1950</f>
        <v>10</v>
      </c>
      <c r="C95" s="49" t="s">
        <v>25</v>
      </c>
      <c r="D95" s="47" t="s">
        <v>52</v>
      </c>
      <c r="E95" s="48">
        <f>Data!G477</f>
        <v>7017.2703199999987</v>
      </c>
      <c r="F95" s="50">
        <f t="shared" si="9"/>
        <v>70172.703199999989</v>
      </c>
    </row>
    <row r="96" spans="1:9" ht="144">
      <c r="A96" s="77">
        <f>A90+1</f>
        <v>17</v>
      </c>
      <c r="B96" s="88"/>
      <c r="C96" s="49" t="s">
        <v>1653</v>
      </c>
      <c r="D96" s="47"/>
      <c r="E96" s="48"/>
      <c r="F96" s="50"/>
    </row>
    <row r="97" spans="1:6" ht="24.95" customHeight="1">
      <c r="A97" s="77" t="s">
        <v>71</v>
      </c>
      <c r="B97" s="88">
        <f>'Detailed Estimate'!J1954</f>
        <v>10</v>
      </c>
      <c r="C97" s="49" t="s">
        <v>12</v>
      </c>
      <c r="D97" s="47" t="s">
        <v>9</v>
      </c>
      <c r="E97" s="48">
        <f>Data!G504</f>
        <v>859.16688680000004</v>
      </c>
      <c r="F97" s="50">
        <f t="shared" ref="F97:F101" si="10">IF((B97="Qro"),"-",B97*E97)</f>
        <v>8591.6688680000007</v>
      </c>
    </row>
    <row r="98" spans="1:6" ht="24.95" customHeight="1">
      <c r="A98" s="77" t="s">
        <v>70</v>
      </c>
      <c r="B98" s="88">
        <f>'Detailed Estimate'!J1956</f>
        <v>10</v>
      </c>
      <c r="C98" s="49" t="s">
        <v>123</v>
      </c>
      <c r="D98" s="47" t="s">
        <v>9</v>
      </c>
      <c r="E98" s="48">
        <f>Data!G508</f>
        <v>876.5203868000001</v>
      </c>
      <c r="F98" s="50">
        <f t="shared" si="10"/>
        <v>8765.2038680000005</v>
      </c>
    </row>
    <row r="99" spans="1:6" ht="24.95" customHeight="1">
      <c r="A99" s="77" t="s">
        <v>69</v>
      </c>
      <c r="B99" s="88">
        <f>'Detailed Estimate'!J1958</f>
        <v>10</v>
      </c>
      <c r="C99" s="49" t="s">
        <v>122</v>
      </c>
      <c r="D99" s="47" t="s">
        <v>9</v>
      </c>
      <c r="E99" s="48">
        <f>Data!G512</f>
        <v>893.87388680000015</v>
      </c>
      <c r="F99" s="50">
        <f t="shared" si="10"/>
        <v>8938.7388680000022</v>
      </c>
    </row>
    <row r="100" spans="1:6" ht="24.95" customHeight="1">
      <c r="A100" s="77" t="s">
        <v>68</v>
      </c>
      <c r="B100" s="88">
        <f>'Detailed Estimate'!J1960</f>
        <v>10</v>
      </c>
      <c r="C100" s="49" t="s">
        <v>553</v>
      </c>
      <c r="D100" s="47" t="s">
        <v>9</v>
      </c>
      <c r="E100" s="48">
        <f>Data!G516</f>
        <v>911.2273868000002</v>
      </c>
      <c r="F100" s="50">
        <f t="shared" si="10"/>
        <v>9112.273868000002</v>
      </c>
    </row>
    <row r="101" spans="1:6" ht="24.95" customHeight="1">
      <c r="A101" s="77" t="s">
        <v>67</v>
      </c>
      <c r="B101" s="88">
        <f>'Detailed Estimate'!J1962</f>
        <v>10</v>
      </c>
      <c r="C101" s="49" t="s">
        <v>25</v>
      </c>
      <c r="D101" s="47" t="s">
        <v>9</v>
      </c>
      <c r="E101" s="48">
        <f>Data!G520</f>
        <v>928.58088680000026</v>
      </c>
      <c r="F101" s="50">
        <f t="shared" si="10"/>
        <v>9285.8088680000019</v>
      </c>
    </row>
    <row r="102" spans="1:6" ht="24.95" customHeight="1">
      <c r="A102" s="77"/>
      <c r="B102" s="88"/>
      <c r="C102" s="81" t="s">
        <v>540</v>
      </c>
      <c r="D102" s="47"/>
      <c r="E102" s="48"/>
      <c r="F102" s="82">
        <f>SUM(F61:F101)</f>
        <v>6705514.7996117715</v>
      </c>
    </row>
    <row r="103" spans="1:6">
      <c r="A103" s="77"/>
      <c r="B103" s="88"/>
      <c r="C103" s="49"/>
      <c r="D103" s="47"/>
      <c r="E103" s="48"/>
      <c r="F103" s="50"/>
    </row>
    <row r="104" spans="1:6">
      <c r="A104" s="77"/>
      <c r="B104" s="46"/>
      <c r="C104" s="37" t="s">
        <v>121</v>
      </c>
      <c r="D104" s="79"/>
      <c r="E104" s="48"/>
      <c r="F104" s="48"/>
    </row>
    <row r="105" spans="1:6" ht="342">
      <c r="A105" s="77">
        <f>+A90+1</f>
        <v>17</v>
      </c>
      <c r="B105" s="214">
        <f>'Detailed Estimate'!J1977</f>
        <v>4</v>
      </c>
      <c r="C105" s="45" t="s">
        <v>1675</v>
      </c>
      <c r="D105" s="79" t="s">
        <v>52</v>
      </c>
      <c r="E105" s="48">
        <f>+Data!G529</f>
        <v>69966</v>
      </c>
      <c r="F105" s="50">
        <f>IF((B105="Qro"),"-",B105*E105)</f>
        <v>279864</v>
      </c>
    </row>
    <row r="106" spans="1:6" ht="306">
      <c r="A106" s="77">
        <f>+A105+1</f>
        <v>18</v>
      </c>
      <c r="B106" s="196"/>
      <c r="C106" s="45" t="s">
        <v>884</v>
      </c>
      <c r="D106" s="79"/>
      <c r="E106" s="48"/>
      <c r="F106" s="48"/>
    </row>
    <row r="107" spans="1:6">
      <c r="A107" s="77" t="s">
        <v>71</v>
      </c>
      <c r="B107" s="214">
        <f>'Detailed Estimate'!J1979</f>
        <v>1</v>
      </c>
      <c r="C107" s="38" t="s">
        <v>120</v>
      </c>
      <c r="D107" s="79" t="s">
        <v>52</v>
      </c>
      <c r="E107" s="48">
        <f>+Data!G537</f>
        <v>136364.5</v>
      </c>
      <c r="F107" s="50">
        <f>IF((B107="Qro"),"-",B107*E107)</f>
        <v>136364.5</v>
      </c>
    </row>
    <row r="108" spans="1:6">
      <c r="A108" s="77" t="s">
        <v>70</v>
      </c>
      <c r="B108" s="214">
        <f>'Detailed Estimate'!J1980</f>
        <v>1</v>
      </c>
      <c r="C108" s="38" t="s">
        <v>119</v>
      </c>
      <c r="D108" s="79" t="s">
        <v>52</v>
      </c>
      <c r="E108" s="48">
        <f>+Data!G544</f>
        <v>148354.5</v>
      </c>
      <c r="F108" s="50">
        <f>IF((B108="Qro"),"-",B108*E108)</f>
        <v>148354.5</v>
      </c>
    </row>
    <row r="109" spans="1:6">
      <c r="A109" s="77"/>
      <c r="B109" s="46"/>
      <c r="C109" s="38"/>
      <c r="D109" s="79"/>
      <c r="E109" s="48"/>
      <c r="F109" s="50"/>
    </row>
    <row r="110" spans="1:6" ht="144">
      <c r="A110" s="77">
        <f>+A106+1</f>
        <v>19</v>
      </c>
      <c r="B110" s="46"/>
      <c r="C110" s="277" t="s">
        <v>1676</v>
      </c>
      <c r="D110" s="79"/>
      <c r="E110" s="48"/>
      <c r="F110" s="50"/>
    </row>
    <row r="111" spans="1:6">
      <c r="A111" s="77" t="s">
        <v>71</v>
      </c>
      <c r="B111" s="46">
        <f>'Detailed Estimate'!J1986</f>
        <v>8</v>
      </c>
      <c r="C111" s="277" t="s">
        <v>1727</v>
      </c>
      <c r="D111" s="79" t="s">
        <v>51</v>
      </c>
      <c r="E111" s="48">
        <f>Data!G569</f>
        <v>3014.0918106995891</v>
      </c>
      <c r="F111" s="50">
        <f>IF((B111="Qro"),"-",B111*E111)</f>
        <v>24112.734485596713</v>
      </c>
    </row>
    <row r="112" spans="1:6">
      <c r="A112" s="77" t="s">
        <v>70</v>
      </c>
      <c r="B112" s="46">
        <f>'Detailed Estimate'!J1990</f>
        <v>45</v>
      </c>
      <c r="C112" s="277" t="s">
        <v>1728</v>
      </c>
      <c r="D112" s="79" t="s">
        <v>51</v>
      </c>
      <c r="E112" s="48">
        <f>Data!G584</f>
        <v>3087.3532870370382</v>
      </c>
      <c r="F112" s="50">
        <f>IF((B112="Qro"),"-",B112*E112)</f>
        <v>138930.89791666673</v>
      </c>
    </row>
    <row r="113" spans="1:10">
      <c r="A113" s="77" t="s">
        <v>69</v>
      </c>
      <c r="B113" s="46">
        <f>'Detailed Estimate'!J1994</f>
        <v>46</v>
      </c>
      <c r="C113" s="277" t="s">
        <v>1729</v>
      </c>
      <c r="D113" s="79" t="s">
        <v>51</v>
      </c>
      <c r="E113" s="48">
        <f>Data!G599</f>
        <v>3239.5117378917384</v>
      </c>
      <c r="F113" s="50">
        <f>IF((B113="Qro"),"-",B113*E113)</f>
        <v>149017.53994301998</v>
      </c>
    </row>
    <row r="114" spans="1:10" ht="54">
      <c r="A114" s="77">
        <f>A110+1</f>
        <v>20</v>
      </c>
      <c r="B114" s="46"/>
      <c r="C114" s="89" t="s">
        <v>118</v>
      </c>
      <c r="D114" s="79"/>
      <c r="E114" s="48"/>
      <c r="F114" s="48"/>
    </row>
    <row r="115" spans="1:10" ht="342">
      <c r="A115" s="77"/>
      <c r="B115" s="46"/>
      <c r="C115" s="45" t="s">
        <v>117</v>
      </c>
      <c r="D115" s="79"/>
      <c r="E115" s="48"/>
      <c r="F115" s="48"/>
    </row>
    <row r="116" spans="1:10" ht="216">
      <c r="A116" s="77"/>
      <c r="B116" s="46"/>
      <c r="C116" s="45" t="s">
        <v>116</v>
      </c>
      <c r="D116" s="79"/>
      <c r="E116" s="48"/>
      <c r="F116" s="48"/>
    </row>
    <row r="117" spans="1:10" ht="108">
      <c r="A117" s="77" t="s">
        <v>71</v>
      </c>
      <c r="B117" s="46">
        <f>'Detailed Estimate'!J2001</f>
        <v>1</v>
      </c>
      <c r="C117" s="45" t="s">
        <v>1874</v>
      </c>
      <c r="D117" s="79" t="s">
        <v>51</v>
      </c>
      <c r="E117" s="48">
        <f>Data!G605</f>
        <v>75411</v>
      </c>
      <c r="F117" s="50">
        <f>IF((B117="Qro"),"-",B117*E117)</f>
        <v>75411</v>
      </c>
    </row>
    <row r="118" spans="1:10" ht="72">
      <c r="A118" s="77" t="s">
        <v>70</v>
      </c>
      <c r="B118" s="46">
        <f>'Detailed Estimate'!J2007</f>
        <v>4</v>
      </c>
      <c r="C118" s="45" t="s">
        <v>952</v>
      </c>
      <c r="D118" s="79" t="s">
        <v>51</v>
      </c>
      <c r="E118" s="48">
        <f>Data!G607</f>
        <v>22150</v>
      </c>
      <c r="F118" s="50">
        <f>IF((B118="Qro"),"-",B118*E118)</f>
        <v>88600</v>
      </c>
    </row>
    <row r="119" spans="1:10" ht="409.5">
      <c r="A119" s="77">
        <f>+A114+1</f>
        <v>21</v>
      </c>
      <c r="B119" s="196"/>
      <c r="C119" s="277" t="s">
        <v>995</v>
      </c>
      <c r="D119" s="288"/>
      <c r="E119" s="289"/>
      <c r="F119" s="287"/>
    </row>
    <row r="120" spans="1:10">
      <c r="A120" s="77" t="s">
        <v>71</v>
      </c>
      <c r="B120" s="197">
        <f>'Detailed Estimate'!J2014</f>
        <v>37</v>
      </c>
      <c r="C120" s="277" t="s">
        <v>1476</v>
      </c>
      <c r="D120" s="214" t="s">
        <v>51</v>
      </c>
      <c r="E120" s="341">
        <f>Data!G610</f>
        <v>9554</v>
      </c>
      <c r="F120" s="221">
        <f>IF((B120="Qro"),"-",B120*E120)</f>
        <v>353498</v>
      </c>
      <c r="G120" s="234"/>
      <c r="J120" s="103"/>
    </row>
    <row r="121" spans="1:10">
      <c r="A121" s="77" t="s">
        <v>70</v>
      </c>
      <c r="B121" s="197">
        <f>'Detailed Estimate'!J2020</f>
        <v>6</v>
      </c>
      <c r="C121" s="277" t="s">
        <v>1477</v>
      </c>
      <c r="D121" s="214" t="s">
        <v>51</v>
      </c>
      <c r="E121" s="341">
        <f>Data!G611</f>
        <v>8437</v>
      </c>
      <c r="F121" s="221">
        <f t="shared" ref="F121:F126" si="11">IF((B121="Qro"),"-",B121*E121)</f>
        <v>50622</v>
      </c>
    </row>
    <row r="122" spans="1:10">
      <c r="A122" s="77" t="s">
        <v>69</v>
      </c>
      <c r="B122" s="197">
        <f>'Detailed Estimate'!J2024</f>
        <v>1</v>
      </c>
      <c r="C122" s="277" t="s">
        <v>1481</v>
      </c>
      <c r="D122" s="214" t="s">
        <v>51</v>
      </c>
      <c r="E122" s="341">
        <f>Data!G612</f>
        <v>7318</v>
      </c>
      <c r="F122" s="221">
        <f t="shared" si="11"/>
        <v>7318</v>
      </c>
    </row>
    <row r="123" spans="1:10">
      <c r="A123" s="77" t="s">
        <v>68</v>
      </c>
      <c r="B123" s="197">
        <f>'Detailed Estimate'!J2034</f>
        <v>14</v>
      </c>
      <c r="C123" s="277" t="s">
        <v>1480</v>
      </c>
      <c r="D123" s="214" t="s">
        <v>51</v>
      </c>
      <c r="E123" s="341">
        <f>Data!G617</f>
        <v>6328.1012658227855</v>
      </c>
      <c r="F123" s="221">
        <f t="shared" si="11"/>
        <v>88593.417721518999</v>
      </c>
    </row>
    <row r="124" spans="1:10">
      <c r="A124" s="77" t="s">
        <v>67</v>
      </c>
      <c r="B124" s="197">
        <f>'Detailed Estimate'!J2038</f>
        <v>0</v>
      </c>
      <c r="C124" s="277" t="s">
        <v>1482</v>
      </c>
      <c r="D124" s="214" t="s">
        <v>51</v>
      </c>
      <c r="E124" s="341">
        <f>Data!G618</f>
        <v>16453.063291139242</v>
      </c>
      <c r="F124" s="221">
        <f t="shared" si="11"/>
        <v>0</v>
      </c>
    </row>
    <row r="125" spans="1:10">
      <c r="A125" s="77" t="s">
        <v>124</v>
      </c>
      <c r="B125" s="197">
        <f>'Detailed Estimate'!J2044</f>
        <v>26</v>
      </c>
      <c r="C125" s="277" t="s">
        <v>1483</v>
      </c>
      <c r="D125" s="214" t="s">
        <v>51</v>
      </c>
      <c r="E125" s="341">
        <f>Data!G619</f>
        <v>14512.445569620251</v>
      </c>
      <c r="F125" s="221">
        <f t="shared" si="11"/>
        <v>377323.58481012651</v>
      </c>
    </row>
    <row r="126" spans="1:10">
      <c r="A126" s="77" t="s">
        <v>528</v>
      </c>
      <c r="B126" s="197">
        <f>'Detailed Estimate'!J2047</f>
        <v>1</v>
      </c>
      <c r="C126" s="277" t="s">
        <v>1484</v>
      </c>
      <c r="D126" s="214" t="s">
        <v>51</v>
      </c>
      <c r="E126" s="341">
        <f>Data!G620</f>
        <v>10884.334177215191</v>
      </c>
      <c r="F126" s="221">
        <f t="shared" si="11"/>
        <v>10884.334177215191</v>
      </c>
    </row>
    <row r="127" spans="1:10" ht="342">
      <c r="A127" s="77">
        <f>+A119+1</f>
        <v>22</v>
      </c>
      <c r="B127" s="46">
        <f>'Detailed Estimate'!J2055</f>
        <v>23</v>
      </c>
      <c r="C127" s="45" t="s">
        <v>885</v>
      </c>
      <c r="D127" s="79" t="s">
        <v>9</v>
      </c>
      <c r="E127" s="48">
        <f>+Data!G623</f>
        <v>8106</v>
      </c>
      <c r="F127" s="50">
        <f>IF((B127="Qro"),"-",B127*E127)</f>
        <v>186438</v>
      </c>
    </row>
    <row r="128" spans="1:10">
      <c r="A128" s="77"/>
      <c r="B128" s="46"/>
      <c r="C128" s="81" t="s">
        <v>540</v>
      </c>
      <c r="D128" s="47"/>
      <c r="E128" s="48"/>
      <c r="F128" s="82">
        <f>SUM(F105:F127)</f>
        <v>2115332.5090541439</v>
      </c>
    </row>
    <row r="129" spans="1:6">
      <c r="A129" s="77"/>
      <c r="B129" s="46"/>
      <c r="C129" s="90" t="s">
        <v>115</v>
      </c>
      <c r="D129" s="47"/>
      <c r="E129" s="48"/>
      <c r="F129" s="48"/>
    </row>
    <row r="130" spans="1:6" ht="252">
      <c r="A130" s="77">
        <f>A127+1</f>
        <v>23</v>
      </c>
      <c r="B130" s="46">
        <f>'Detailed Estimate'!J2066</f>
        <v>84</v>
      </c>
      <c r="C130" s="49" t="s">
        <v>602</v>
      </c>
      <c r="D130" s="47" t="s">
        <v>9</v>
      </c>
      <c r="E130" s="48">
        <f>Data!G627</f>
        <v>5536</v>
      </c>
      <c r="F130" s="50">
        <f>IF((B130="Qro"),"-",B130*E130)</f>
        <v>465024</v>
      </c>
    </row>
    <row r="131" spans="1:6" ht="270">
      <c r="A131" s="77">
        <f>A130+1</f>
        <v>24</v>
      </c>
      <c r="B131" s="46">
        <f>'Detailed Estimate'!J2071</f>
        <v>123</v>
      </c>
      <c r="C131" s="38" t="s">
        <v>604</v>
      </c>
      <c r="D131" s="47" t="s">
        <v>722</v>
      </c>
      <c r="E131" s="48">
        <f>Data!G630</f>
        <v>1843</v>
      </c>
      <c r="F131" s="50">
        <f>IF((B131="Qro"),"-",B131*E131)</f>
        <v>226689</v>
      </c>
    </row>
    <row r="132" spans="1:6" ht="378">
      <c r="A132" s="77">
        <f>A131+1</f>
        <v>25</v>
      </c>
      <c r="B132" s="46">
        <f>'Detailed Estimate'!J2087</f>
        <v>344</v>
      </c>
      <c r="C132" s="49" t="s">
        <v>114</v>
      </c>
      <c r="D132" s="47" t="s">
        <v>1608</v>
      </c>
      <c r="E132" s="48">
        <f>Data!G637</f>
        <v>123.75</v>
      </c>
      <c r="F132" s="50">
        <f>IF((B132="Qro"),"-",B132*E132)</f>
        <v>42570</v>
      </c>
    </row>
    <row r="133" spans="1:6" ht="216">
      <c r="A133" s="77">
        <f>A132+1</f>
        <v>26</v>
      </c>
      <c r="B133" s="46">
        <f>'Detailed Estimate'!J2102</f>
        <v>5737</v>
      </c>
      <c r="C133" s="91" t="s">
        <v>566</v>
      </c>
      <c r="D133" s="47" t="s">
        <v>1608</v>
      </c>
      <c r="E133" s="48">
        <f>Data!G645</f>
        <v>119</v>
      </c>
      <c r="F133" s="50">
        <f>IF((B133="Qro"),"-",B133*E133)</f>
        <v>682703</v>
      </c>
    </row>
    <row r="134" spans="1:6">
      <c r="A134" s="77"/>
      <c r="B134" s="46"/>
      <c r="C134" s="81" t="s">
        <v>540</v>
      </c>
      <c r="D134" s="47"/>
      <c r="E134" s="48"/>
      <c r="F134" s="82">
        <f>SUM(F130:F133)</f>
        <v>1416986</v>
      </c>
    </row>
    <row r="135" spans="1:6">
      <c r="A135" s="77"/>
      <c r="B135" s="46"/>
      <c r="C135" s="37" t="s">
        <v>113</v>
      </c>
      <c r="D135" s="79"/>
      <c r="E135" s="48"/>
      <c r="F135" s="48"/>
    </row>
    <row r="136" spans="1:6" ht="396">
      <c r="A136" s="77">
        <f>A133+1</f>
        <v>27</v>
      </c>
      <c r="B136" s="46"/>
      <c r="C136" s="45" t="s">
        <v>1654</v>
      </c>
      <c r="D136" s="79"/>
      <c r="E136" s="48"/>
      <c r="F136" s="48"/>
    </row>
    <row r="137" spans="1:6" ht="180">
      <c r="A137" s="77"/>
      <c r="B137" s="46"/>
      <c r="C137" s="45" t="s">
        <v>112</v>
      </c>
      <c r="D137" s="79"/>
      <c r="E137" s="48"/>
      <c r="F137" s="48"/>
    </row>
    <row r="138" spans="1:6">
      <c r="A138" s="77" t="s">
        <v>71</v>
      </c>
      <c r="B138" s="46">
        <f>'Detailed Estimate'!J2112</f>
        <v>50</v>
      </c>
      <c r="C138" s="45" t="s">
        <v>1609</v>
      </c>
      <c r="D138" s="47" t="s">
        <v>9</v>
      </c>
      <c r="E138" s="48">
        <f>Data!G665</f>
        <v>336.4</v>
      </c>
      <c r="F138" s="50">
        <f>IF((B138="Qro"),"-",B138*E138)</f>
        <v>16820</v>
      </c>
    </row>
    <row r="139" spans="1:6">
      <c r="A139" s="77"/>
      <c r="B139" s="46"/>
      <c r="C139" s="45"/>
      <c r="D139" s="47"/>
      <c r="E139" s="48"/>
      <c r="F139" s="50"/>
    </row>
    <row r="140" spans="1:6" ht="90">
      <c r="A140" s="77">
        <f>+A136+1</f>
        <v>28</v>
      </c>
      <c r="B140" s="46"/>
      <c r="C140" s="38" t="s">
        <v>711</v>
      </c>
      <c r="D140" s="47"/>
      <c r="E140" s="48"/>
      <c r="F140" s="50"/>
    </row>
    <row r="141" spans="1:6" ht="36">
      <c r="A141" s="77"/>
      <c r="B141" s="46"/>
      <c r="C141" s="38" t="s">
        <v>712</v>
      </c>
      <c r="D141" s="47"/>
      <c r="E141" s="48"/>
      <c r="F141" s="50"/>
    </row>
    <row r="142" spans="1:6" ht="54">
      <c r="A142" s="77"/>
      <c r="B142" s="46"/>
      <c r="C142" s="38" t="s">
        <v>713</v>
      </c>
      <c r="D142" s="47"/>
      <c r="E142" s="48"/>
      <c r="F142" s="50"/>
    </row>
    <row r="143" spans="1:6">
      <c r="A143" s="77"/>
      <c r="B143" s="46"/>
      <c r="C143" s="38" t="s">
        <v>714</v>
      </c>
      <c r="D143" s="47"/>
      <c r="E143" s="48"/>
      <c r="F143" s="50"/>
    </row>
    <row r="144" spans="1:6">
      <c r="A144" s="77"/>
      <c r="B144" s="46"/>
      <c r="C144" s="38" t="s">
        <v>715</v>
      </c>
      <c r="D144" s="47"/>
      <c r="E144" s="48"/>
      <c r="F144" s="50"/>
    </row>
    <row r="145" spans="1:6">
      <c r="A145" s="77"/>
      <c r="B145" s="46"/>
      <c r="C145" s="38" t="s">
        <v>716</v>
      </c>
      <c r="D145" s="47"/>
      <c r="E145" s="48"/>
      <c r="F145" s="50"/>
    </row>
    <row r="146" spans="1:6">
      <c r="A146" s="77"/>
      <c r="B146" s="46"/>
      <c r="C146" s="38" t="s">
        <v>717</v>
      </c>
      <c r="D146" s="47"/>
      <c r="E146" s="48"/>
      <c r="F146" s="50"/>
    </row>
    <row r="147" spans="1:6" ht="144">
      <c r="A147" s="77"/>
      <c r="B147" s="46"/>
      <c r="C147" s="38" t="s">
        <v>718</v>
      </c>
      <c r="D147" s="47"/>
      <c r="E147" s="48"/>
      <c r="F147" s="50"/>
    </row>
    <row r="148" spans="1:6" ht="72">
      <c r="A148" s="77"/>
      <c r="B148" s="46"/>
      <c r="C148" s="38" t="s">
        <v>719</v>
      </c>
      <c r="D148" s="47"/>
      <c r="E148" s="48"/>
      <c r="F148" s="50"/>
    </row>
    <row r="149" spans="1:6" ht="36">
      <c r="A149" s="77"/>
      <c r="B149" s="46"/>
      <c r="C149" s="38" t="s">
        <v>720</v>
      </c>
      <c r="D149" s="47"/>
      <c r="E149" s="48"/>
      <c r="F149" s="50"/>
    </row>
    <row r="150" spans="1:6" ht="90">
      <c r="A150" s="77"/>
      <c r="B150" s="46">
        <f>'Detailed Estimate'!J2126</f>
        <v>26</v>
      </c>
      <c r="C150" s="38" t="s">
        <v>721</v>
      </c>
      <c r="D150" s="47" t="s">
        <v>9</v>
      </c>
      <c r="E150" s="48">
        <f>Data!G678</f>
        <v>2950</v>
      </c>
      <c r="F150" s="50">
        <f>IF((B150="Qro"),"-",B150*E150)</f>
        <v>76700</v>
      </c>
    </row>
    <row r="151" spans="1:6">
      <c r="A151" s="77"/>
      <c r="B151" s="46"/>
      <c r="C151" s="38"/>
      <c r="D151" s="47"/>
      <c r="E151" s="48"/>
      <c r="F151" s="50"/>
    </row>
    <row r="152" spans="1:6" ht="288">
      <c r="A152" s="77">
        <f>+A140+1</f>
        <v>29</v>
      </c>
      <c r="B152" s="46">
        <f>'Detailed Estimate'!J2130</f>
        <v>25</v>
      </c>
      <c r="C152" s="38" t="s">
        <v>886</v>
      </c>
      <c r="D152" s="47" t="s">
        <v>9</v>
      </c>
      <c r="E152" s="48">
        <f>Data!G681</f>
        <v>1480</v>
      </c>
      <c r="F152" s="50">
        <f>IF((B152="Qro"),"-",B152*E152)</f>
        <v>37000</v>
      </c>
    </row>
    <row r="153" spans="1:6">
      <c r="A153" s="77"/>
      <c r="B153" s="46"/>
      <c r="C153" s="45"/>
      <c r="D153" s="47"/>
      <c r="E153" s="48"/>
      <c r="F153" s="50"/>
    </row>
    <row r="154" spans="1:6" ht="409.5">
      <c r="A154" s="77">
        <f>+A152+1</f>
        <v>30</v>
      </c>
      <c r="B154" s="46">
        <f>'Detailed Estimate'!J2172</f>
        <v>1898</v>
      </c>
      <c r="C154" s="277" t="s">
        <v>1753</v>
      </c>
      <c r="D154" s="47" t="s">
        <v>9</v>
      </c>
      <c r="E154" s="48">
        <f>Data!G699</f>
        <v>1759</v>
      </c>
      <c r="F154" s="50">
        <f>IF((B154="Qro"),"-",B154*E154)</f>
        <v>3338582</v>
      </c>
    </row>
    <row r="155" spans="1:6" ht="270">
      <c r="A155" s="77">
        <f t="shared" ref="A155:A161" si="12">A154+1</f>
        <v>31</v>
      </c>
      <c r="B155" s="46">
        <f>'Detailed Estimate'!J2193</f>
        <v>221</v>
      </c>
      <c r="C155" s="45" t="s">
        <v>1754</v>
      </c>
      <c r="D155" s="47" t="s">
        <v>9</v>
      </c>
      <c r="E155" s="48">
        <f>Data!G717</f>
        <v>1154.7154952109647</v>
      </c>
      <c r="F155" s="50">
        <f>IF((B155="Qro"),"-",B155*E155)</f>
        <v>255192.12444162319</v>
      </c>
    </row>
    <row r="156" spans="1:6" ht="324">
      <c r="A156" s="77">
        <f t="shared" si="12"/>
        <v>32</v>
      </c>
      <c r="B156" s="46">
        <f>'Detailed Estimate'!J2200</f>
        <v>10</v>
      </c>
      <c r="C156" s="45" t="s">
        <v>1755</v>
      </c>
      <c r="D156" s="47" t="s">
        <v>9</v>
      </c>
      <c r="E156" s="48">
        <f>Data!G733</f>
        <v>2949</v>
      </c>
      <c r="F156" s="50">
        <f t="shared" ref="F156:F162" si="13">IF((B156="Qro"),"-",B156*E156)</f>
        <v>29490</v>
      </c>
    </row>
    <row r="157" spans="1:6" ht="378">
      <c r="A157" s="77">
        <f t="shared" si="12"/>
        <v>33</v>
      </c>
      <c r="B157" s="46">
        <f>'Detailed Estimate'!J2215</f>
        <v>113</v>
      </c>
      <c r="C157" s="56" t="s">
        <v>1756</v>
      </c>
      <c r="D157" s="47" t="s">
        <v>9</v>
      </c>
      <c r="E157" s="48">
        <f>Data!G750</f>
        <v>3544.4</v>
      </c>
      <c r="F157" s="50">
        <f t="shared" si="13"/>
        <v>400517.2</v>
      </c>
    </row>
    <row r="158" spans="1:6" ht="378">
      <c r="A158" s="77">
        <f t="shared" si="12"/>
        <v>34</v>
      </c>
      <c r="B158" s="46">
        <f>'Detailed Estimate'!J2218</f>
        <v>10</v>
      </c>
      <c r="C158" s="56" t="s">
        <v>1757</v>
      </c>
      <c r="D158" s="47" t="s">
        <v>9</v>
      </c>
      <c r="E158" s="48">
        <f>Data!G767</f>
        <v>3005</v>
      </c>
      <c r="F158" s="50">
        <f t="shared" si="13"/>
        <v>30050</v>
      </c>
    </row>
    <row r="159" spans="1:6" ht="409.5">
      <c r="A159" s="77">
        <f t="shared" si="12"/>
        <v>35</v>
      </c>
      <c r="B159" s="46">
        <f>'Detailed Estimate'!J2241</f>
        <v>142</v>
      </c>
      <c r="C159" s="56" t="s">
        <v>1758</v>
      </c>
      <c r="D159" s="47" t="s">
        <v>9</v>
      </c>
      <c r="E159" s="48">
        <f>Data!G786</f>
        <v>3574.4</v>
      </c>
      <c r="F159" s="50">
        <f t="shared" si="13"/>
        <v>507564.79999999999</v>
      </c>
    </row>
    <row r="160" spans="1:6" ht="360">
      <c r="A160" s="77">
        <f t="shared" si="12"/>
        <v>36</v>
      </c>
      <c r="B160" s="46">
        <f>'Detailed Estimate'!J2248</f>
        <v>8</v>
      </c>
      <c r="C160" s="45" t="s">
        <v>1759</v>
      </c>
      <c r="D160" s="47" t="s">
        <v>9</v>
      </c>
      <c r="E160" s="48">
        <f>Data!G802</f>
        <v>2295</v>
      </c>
      <c r="F160" s="50">
        <f t="shared" si="13"/>
        <v>18360</v>
      </c>
    </row>
    <row r="161" spans="1:8" ht="378">
      <c r="A161" s="77">
        <f t="shared" si="12"/>
        <v>37</v>
      </c>
      <c r="B161" s="46">
        <f>'Detailed Estimate'!J2250</f>
        <v>10</v>
      </c>
      <c r="C161" s="45" t="s">
        <v>1761</v>
      </c>
      <c r="D161" s="47" t="s">
        <v>9</v>
      </c>
      <c r="E161" s="48">
        <f>Data!G818</f>
        <v>2365</v>
      </c>
      <c r="F161" s="50">
        <f t="shared" si="13"/>
        <v>23650</v>
      </c>
    </row>
    <row r="162" spans="1:8" ht="270">
      <c r="A162" s="77">
        <f>+A161+1</f>
        <v>38</v>
      </c>
      <c r="B162" s="46">
        <f>'Detailed Estimate'!J2256</f>
        <v>27</v>
      </c>
      <c r="C162" s="49" t="s">
        <v>1760</v>
      </c>
      <c r="D162" s="47" t="s">
        <v>9</v>
      </c>
      <c r="E162" s="48">
        <f>Data!G821</f>
        <v>1550</v>
      </c>
      <c r="F162" s="50">
        <f t="shared" si="13"/>
        <v>41850</v>
      </c>
    </row>
    <row r="163" spans="1:8">
      <c r="A163" s="77"/>
      <c r="B163" s="46"/>
      <c r="C163" s="81" t="s">
        <v>540</v>
      </c>
      <c r="D163" s="47"/>
      <c r="E163" s="48"/>
      <c r="F163" s="82">
        <f>SUM(F137:F162)</f>
        <v>4775776.1244416237</v>
      </c>
    </row>
    <row r="164" spans="1:8">
      <c r="A164" s="77"/>
      <c r="B164" s="46"/>
      <c r="C164" s="85" t="s">
        <v>111</v>
      </c>
      <c r="D164" s="79"/>
      <c r="E164" s="48"/>
      <c r="F164" s="48"/>
    </row>
    <row r="165" spans="1:8" ht="324">
      <c r="A165" s="77">
        <f>A162+1</f>
        <v>39</v>
      </c>
      <c r="B165" s="46">
        <f>'Detailed Estimate'!J2299</f>
        <v>1245</v>
      </c>
      <c r="C165" s="49" t="s">
        <v>1762</v>
      </c>
      <c r="D165" s="47" t="s">
        <v>722</v>
      </c>
      <c r="E165" s="48">
        <f>Data!G836</f>
        <v>380.70000000000005</v>
      </c>
      <c r="F165" s="50">
        <f>IF((B165="Qro"),"-",B165*E165)</f>
        <v>473971.50000000006</v>
      </c>
      <c r="H165" s="92"/>
    </row>
    <row r="166" spans="1:8" ht="342">
      <c r="A166" s="77">
        <f>A165+1</f>
        <v>40</v>
      </c>
      <c r="B166" s="46">
        <f>'Detailed Estimate'!J2302</f>
        <v>20</v>
      </c>
      <c r="C166" s="38" t="s">
        <v>1655</v>
      </c>
      <c r="D166" s="47" t="s">
        <v>722</v>
      </c>
      <c r="E166" s="48">
        <f>Data!G849</f>
        <v>331</v>
      </c>
      <c r="F166" s="50">
        <f>IF((B166="Qro"),"-",B166*E166)</f>
        <v>6620</v>
      </c>
    </row>
    <row r="167" spans="1:8" ht="144.75" customHeight="1">
      <c r="A167" s="77">
        <f>+A166+1</f>
        <v>41</v>
      </c>
      <c r="B167" s="46">
        <f>'Detailed Estimate'!J2304</f>
        <v>20</v>
      </c>
      <c r="C167" s="38" t="s">
        <v>887</v>
      </c>
      <c r="D167" s="47" t="s">
        <v>722</v>
      </c>
      <c r="E167" s="48">
        <f>Data!G852</f>
        <v>400</v>
      </c>
      <c r="F167" s="50">
        <f>IF((B167="Qro"),"-",B167*E167)</f>
        <v>8000</v>
      </c>
    </row>
    <row r="168" spans="1:8" ht="180">
      <c r="A168" s="77">
        <f>+A167+1</f>
        <v>42</v>
      </c>
      <c r="B168" s="46">
        <f>'Detailed Estimate'!J2326</f>
        <v>182</v>
      </c>
      <c r="C168" s="38" t="s">
        <v>1763</v>
      </c>
      <c r="D168" s="47" t="s">
        <v>722</v>
      </c>
      <c r="E168" s="48">
        <f>Data!G866</f>
        <v>444</v>
      </c>
      <c r="F168" s="50">
        <f>IF((B168="Qro"),"-",B168*E168)</f>
        <v>80808</v>
      </c>
    </row>
    <row r="169" spans="1:8">
      <c r="A169" s="77"/>
      <c r="B169" s="46"/>
      <c r="C169" s="81" t="s">
        <v>540</v>
      </c>
      <c r="D169" s="47"/>
      <c r="E169" s="48"/>
      <c r="F169" s="82">
        <f>SUM(F165:F168)</f>
        <v>569399.5</v>
      </c>
    </row>
    <row r="170" spans="1:8">
      <c r="A170" s="77"/>
      <c r="B170" s="46"/>
      <c r="C170" s="85" t="s">
        <v>110</v>
      </c>
      <c r="D170" s="79"/>
      <c r="E170" s="48"/>
      <c r="F170" s="48"/>
    </row>
    <row r="171" spans="1:8" ht="330" customHeight="1">
      <c r="A171" s="77">
        <f>A168+1</f>
        <v>43</v>
      </c>
      <c r="B171" s="46">
        <f>'Detailed Estimate'!J2360</f>
        <v>785</v>
      </c>
      <c r="C171" s="38" t="s">
        <v>1764</v>
      </c>
      <c r="D171" s="47" t="s">
        <v>9</v>
      </c>
      <c r="E171" s="48">
        <f>Data!G870</f>
        <v>1550</v>
      </c>
      <c r="F171" s="50">
        <f>IF((B171="Qro"),"-",B171*E171)</f>
        <v>1216750</v>
      </c>
    </row>
    <row r="172" spans="1:8" ht="306">
      <c r="A172" s="77">
        <f>A171+1</f>
        <v>44</v>
      </c>
      <c r="B172" s="46"/>
      <c r="C172" s="38" t="s">
        <v>1656</v>
      </c>
      <c r="D172" s="77"/>
      <c r="E172" s="342"/>
      <c r="F172" s="342"/>
    </row>
    <row r="173" spans="1:8" ht="378">
      <c r="A173" s="77"/>
      <c r="B173" s="46">
        <f>'Detailed Estimate'!J2368</f>
        <v>27</v>
      </c>
      <c r="C173" s="38" t="s">
        <v>1765</v>
      </c>
      <c r="D173" s="47" t="s">
        <v>9</v>
      </c>
      <c r="E173" s="48">
        <f>Data!G882</f>
        <v>2019</v>
      </c>
      <c r="F173" s="50">
        <f>IF((B173="Qro"),"-",B173*E173)</f>
        <v>54513</v>
      </c>
    </row>
    <row r="174" spans="1:8" ht="396">
      <c r="A174" s="77">
        <f>A172+1</f>
        <v>45</v>
      </c>
      <c r="B174" s="46">
        <f>'Detailed Estimate'!J2374</f>
        <v>86</v>
      </c>
      <c r="C174" s="38" t="s">
        <v>1766</v>
      </c>
      <c r="D174" s="47" t="s">
        <v>9</v>
      </c>
      <c r="E174" s="48">
        <f>Data!G885</f>
        <v>1850</v>
      </c>
      <c r="F174" s="50">
        <f>IF((B174="Qro"),"-",B174*E174)</f>
        <v>159100</v>
      </c>
    </row>
    <row r="175" spans="1:8" ht="324">
      <c r="A175" s="77">
        <f>A174+1</f>
        <v>46</v>
      </c>
      <c r="B175" s="46">
        <f>'Detailed Estimate'!J2378</f>
        <v>12</v>
      </c>
      <c r="C175" s="38" t="s">
        <v>1767</v>
      </c>
      <c r="D175" s="47" t="s">
        <v>9</v>
      </c>
      <c r="E175" s="48">
        <f>Data!G887</f>
        <v>1550</v>
      </c>
      <c r="F175" s="50">
        <f>IF((B175="Qro"),"-",B175*E175)</f>
        <v>18600</v>
      </c>
    </row>
    <row r="176" spans="1:8">
      <c r="A176" s="77"/>
      <c r="B176" s="46"/>
      <c r="C176" s="81" t="s">
        <v>540</v>
      </c>
      <c r="D176" s="47"/>
      <c r="E176" s="48"/>
      <c r="F176" s="82">
        <f>SUM(F171:F175)</f>
        <v>1448963</v>
      </c>
    </row>
    <row r="177" spans="1:6">
      <c r="A177" s="77"/>
      <c r="B177" s="46"/>
      <c r="C177" s="85" t="s">
        <v>109</v>
      </c>
      <c r="D177" s="79"/>
      <c r="E177" s="48"/>
      <c r="F177" s="48"/>
    </row>
    <row r="178" spans="1:6" ht="216">
      <c r="A178" s="77">
        <f>A175+1</f>
        <v>47</v>
      </c>
      <c r="B178" s="197">
        <f>'Detailed Estimate'!J2455</f>
        <v>4986</v>
      </c>
      <c r="C178" s="38" t="s">
        <v>1657</v>
      </c>
      <c r="D178" s="47" t="s">
        <v>9</v>
      </c>
      <c r="E178" s="48">
        <f>Data!G897</f>
        <v>238</v>
      </c>
      <c r="F178" s="50">
        <f>IF((B178="Qro"),"-",B178*E178)</f>
        <v>1186668</v>
      </c>
    </row>
    <row r="179" spans="1:6" ht="234">
      <c r="A179" s="77">
        <f>A178+1</f>
        <v>48</v>
      </c>
      <c r="B179" s="197">
        <f>'Detailed Estimate'!J2601</f>
        <v>3113</v>
      </c>
      <c r="C179" s="38" t="s">
        <v>1658</v>
      </c>
      <c r="D179" s="47" t="s">
        <v>9</v>
      </c>
      <c r="E179" s="48">
        <f>Data!G907</f>
        <v>331</v>
      </c>
      <c r="F179" s="50">
        <f>IF((B179="Qro"),"-",B179*E179)</f>
        <v>1030403</v>
      </c>
    </row>
    <row r="180" spans="1:6" ht="180">
      <c r="A180" s="77">
        <f>A179+1</f>
        <v>49</v>
      </c>
      <c r="B180" s="197">
        <f>'Detailed Estimate'!J2665</f>
        <v>1820</v>
      </c>
      <c r="C180" s="38" t="s">
        <v>1659</v>
      </c>
      <c r="D180" s="47" t="s">
        <v>9</v>
      </c>
      <c r="E180" s="48">
        <f>Data!G916</f>
        <v>273</v>
      </c>
      <c r="F180" s="50">
        <f>IF((B180="Qro"),"-",B180*E180)</f>
        <v>496860</v>
      </c>
    </row>
    <row r="181" spans="1:6" ht="324">
      <c r="A181" s="77">
        <f>A180+1</f>
        <v>50</v>
      </c>
      <c r="B181" s="197">
        <f>'Detailed Estimate'!J2722</f>
        <v>1218</v>
      </c>
      <c r="C181" s="38" t="s">
        <v>1660</v>
      </c>
      <c r="D181" s="47" t="s">
        <v>9</v>
      </c>
      <c r="E181" s="48">
        <f>Data!G926</f>
        <v>263</v>
      </c>
      <c r="F181" s="50">
        <f>IF((B181="Qro"),"-",B181*E181)</f>
        <v>320334</v>
      </c>
    </row>
    <row r="182" spans="1:6">
      <c r="A182" s="77"/>
      <c r="B182" s="46"/>
      <c r="C182" s="81" t="s">
        <v>540</v>
      </c>
      <c r="D182" s="47"/>
      <c r="E182" s="48"/>
      <c r="F182" s="82">
        <f>SUM(F178:F181)</f>
        <v>3034265</v>
      </c>
    </row>
    <row r="183" spans="1:6">
      <c r="A183" s="77"/>
      <c r="B183" s="46"/>
      <c r="C183" s="85" t="s">
        <v>108</v>
      </c>
      <c r="D183" s="79"/>
      <c r="E183" s="48"/>
      <c r="F183" s="48"/>
    </row>
    <row r="184" spans="1:6" ht="180">
      <c r="A184" s="77">
        <f>A181+1</f>
        <v>51</v>
      </c>
      <c r="B184" s="197">
        <f>'Detailed Estimate'!J2807</f>
        <v>5209</v>
      </c>
      <c r="C184" s="38" t="s">
        <v>888</v>
      </c>
      <c r="D184" s="47" t="s">
        <v>9</v>
      </c>
      <c r="E184" s="48">
        <f>Data!G930</f>
        <v>215</v>
      </c>
      <c r="F184" s="50">
        <f>IF((B184="Qro"),"-",B184*E184)</f>
        <v>1119935</v>
      </c>
    </row>
    <row r="185" spans="1:6" ht="36">
      <c r="A185" s="77">
        <f>+A184+1</f>
        <v>52</v>
      </c>
      <c r="B185" s="197">
        <f>'Detailed Estimate'!J2833</f>
        <v>222</v>
      </c>
      <c r="C185" s="38" t="s">
        <v>521</v>
      </c>
      <c r="D185" s="47" t="s">
        <v>9</v>
      </c>
      <c r="E185" s="48">
        <f>Data!G934</f>
        <v>195</v>
      </c>
      <c r="F185" s="50">
        <f>IF((B185="Qro"),"-",B185*E185)</f>
        <v>43290</v>
      </c>
    </row>
    <row r="186" spans="1:6" ht="90">
      <c r="A186" s="77">
        <f>+A185+1</f>
        <v>53</v>
      </c>
      <c r="B186" s="197">
        <f>'Detailed Estimate'!J2897</f>
        <v>1783</v>
      </c>
      <c r="C186" s="38" t="s">
        <v>107</v>
      </c>
      <c r="D186" s="47" t="s">
        <v>9</v>
      </c>
      <c r="E186" s="48">
        <f>Data!G947</f>
        <v>49</v>
      </c>
      <c r="F186" s="50">
        <f>IF((B186="Qro"),"-",B186*E186)</f>
        <v>87367</v>
      </c>
    </row>
    <row r="187" spans="1:6" ht="252">
      <c r="A187" s="77">
        <f>+A186+1</f>
        <v>54</v>
      </c>
      <c r="B187" s="197">
        <f>'Detailed Estimate'!J2900</f>
        <v>3113</v>
      </c>
      <c r="C187" s="38" t="s">
        <v>106</v>
      </c>
      <c r="D187" s="47" t="s">
        <v>9</v>
      </c>
      <c r="E187" s="48">
        <f>Data!G955</f>
        <v>224</v>
      </c>
      <c r="F187" s="50">
        <f>IF((B187="Qro"),"-",B187*E187)</f>
        <v>697312</v>
      </c>
    </row>
    <row r="188" spans="1:6" ht="288">
      <c r="A188" s="77">
        <f>A187+1</f>
        <v>55</v>
      </c>
      <c r="B188" s="197">
        <f>'Detailed Estimate'!J2902</f>
        <v>50</v>
      </c>
      <c r="C188" s="45" t="s">
        <v>105</v>
      </c>
      <c r="D188" s="47" t="s">
        <v>9</v>
      </c>
      <c r="E188" s="48">
        <f>Data!G959</f>
        <v>412</v>
      </c>
      <c r="F188" s="50">
        <f>IF((B188="Qro"),"-",B188*E188)</f>
        <v>20600</v>
      </c>
    </row>
    <row r="189" spans="1:6">
      <c r="A189" s="77"/>
      <c r="B189" s="46"/>
      <c r="C189" s="81" t="s">
        <v>540</v>
      </c>
      <c r="D189" s="47"/>
      <c r="E189" s="48"/>
      <c r="F189" s="82">
        <f>SUM(F184:F188)</f>
        <v>1968504</v>
      </c>
    </row>
    <row r="190" spans="1:6">
      <c r="A190" s="77"/>
      <c r="B190" s="46"/>
      <c r="C190" s="37" t="s">
        <v>104</v>
      </c>
      <c r="D190" s="79"/>
      <c r="E190" s="48"/>
      <c r="F190" s="48"/>
    </row>
    <row r="191" spans="1:6" ht="369" customHeight="1">
      <c r="A191" s="77"/>
      <c r="B191" s="46"/>
      <c r="C191" s="38" t="s">
        <v>560</v>
      </c>
      <c r="D191" s="79"/>
      <c r="E191" s="48"/>
      <c r="F191" s="48"/>
    </row>
    <row r="192" spans="1:6" ht="90">
      <c r="A192" s="77">
        <f>A188+1</f>
        <v>56</v>
      </c>
      <c r="B192" s="46"/>
      <c r="C192" s="93" t="s">
        <v>513</v>
      </c>
      <c r="D192" s="79"/>
      <c r="E192" s="48"/>
      <c r="F192" s="48"/>
    </row>
    <row r="193" spans="1:6" ht="108">
      <c r="A193" s="77"/>
      <c r="B193" s="46"/>
      <c r="C193" s="38" t="s">
        <v>786</v>
      </c>
      <c r="D193" s="79"/>
      <c r="E193" s="48"/>
      <c r="F193" s="48"/>
    </row>
    <row r="194" spans="1:6" ht="108">
      <c r="A194" s="77"/>
      <c r="B194" s="46"/>
      <c r="C194" s="38" t="s">
        <v>103</v>
      </c>
      <c r="D194" s="79"/>
      <c r="E194" s="48"/>
      <c r="F194" s="48"/>
    </row>
    <row r="195" spans="1:6" ht="108">
      <c r="A195" s="77"/>
      <c r="B195" s="46"/>
      <c r="C195" s="38" t="s">
        <v>94</v>
      </c>
      <c r="D195" s="79"/>
      <c r="E195" s="48"/>
      <c r="F195" s="48"/>
    </row>
    <row r="196" spans="1:6" ht="72">
      <c r="A196" s="77"/>
      <c r="B196" s="46">
        <f>'Detailed Estimate'!J2939</f>
        <v>46</v>
      </c>
      <c r="C196" s="38" t="s">
        <v>102</v>
      </c>
      <c r="D196" s="47" t="s">
        <v>9</v>
      </c>
      <c r="E196" s="48">
        <f>Data!G969</f>
        <v>975</v>
      </c>
      <c r="F196" s="50">
        <f>IF((B196="Qro"),"-",B196*E196)</f>
        <v>44850</v>
      </c>
    </row>
    <row r="197" spans="1:6" ht="108">
      <c r="A197" s="77">
        <f>+A192+1</f>
        <v>57</v>
      </c>
      <c r="B197" s="46"/>
      <c r="C197" s="93" t="s">
        <v>518</v>
      </c>
      <c r="D197" s="79"/>
      <c r="E197" s="48"/>
      <c r="F197" s="48"/>
    </row>
    <row r="198" spans="1:6" ht="72">
      <c r="A198" s="77"/>
      <c r="B198" s="46"/>
      <c r="C198" s="38" t="s">
        <v>85</v>
      </c>
      <c r="D198" s="79"/>
      <c r="E198" s="48"/>
      <c r="F198" s="48"/>
    </row>
    <row r="199" spans="1:6" ht="72">
      <c r="A199" s="77"/>
      <c r="B199" s="46"/>
      <c r="C199" s="38" t="s">
        <v>95</v>
      </c>
      <c r="D199" s="79"/>
      <c r="E199" s="48"/>
      <c r="F199" s="48"/>
    </row>
    <row r="200" spans="1:6" ht="108">
      <c r="A200" s="77"/>
      <c r="B200" s="46"/>
      <c r="C200" s="38" t="s">
        <v>94</v>
      </c>
      <c r="D200" s="79"/>
      <c r="E200" s="48"/>
      <c r="F200" s="48"/>
    </row>
    <row r="201" spans="1:6" ht="72">
      <c r="A201" s="77"/>
      <c r="B201" s="46"/>
      <c r="C201" s="38" t="s">
        <v>101</v>
      </c>
      <c r="D201" s="79"/>
      <c r="E201" s="48"/>
      <c r="F201" s="48"/>
    </row>
    <row r="202" spans="1:6" ht="126">
      <c r="A202" s="77"/>
      <c r="B202" s="46"/>
      <c r="C202" s="38" t="s">
        <v>100</v>
      </c>
      <c r="D202" s="79"/>
      <c r="E202" s="48"/>
      <c r="F202" s="48"/>
    </row>
    <row r="203" spans="1:6" ht="198">
      <c r="A203" s="77"/>
      <c r="B203" s="46">
        <f>'Detailed Estimate'!J2992</f>
        <v>81</v>
      </c>
      <c r="C203" s="38" t="s">
        <v>1667</v>
      </c>
      <c r="D203" s="47" t="s">
        <v>9</v>
      </c>
      <c r="E203" s="48">
        <f>Data!G979</f>
        <v>1250</v>
      </c>
      <c r="F203" s="50">
        <f>IF((B203="Qro"),"-",B203*E203)</f>
        <v>101250</v>
      </c>
    </row>
    <row r="204" spans="1:6" ht="72">
      <c r="A204" s="77">
        <f>A197+1</f>
        <v>58</v>
      </c>
      <c r="B204" s="46"/>
      <c r="C204" s="93" t="s">
        <v>519</v>
      </c>
      <c r="D204" s="47"/>
      <c r="E204" s="48"/>
      <c r="F204" s="48"/>
    </row>
    <row r="205" spans="1:6" ht="90">
      <c r="A205" s="77"/>
      <c r="B205" s="46"/>
      <c r="C205" s="38" t="s">
        <v>99</v>
      </c>
      <c r="D205" s="47"/>
      <c r="E205" s="48"/>
      <c r="F205" s="48"/>
    </row>
    <row r="206" spans="1:6" ht="180">
      <c r="A206" s="77"/>
      <c r="B206" s="46"/>
      <c r="C206" s="38" t="s">
        <v>83</v>
      </c>
      <c r="D206" s="47"/>
      <c r="E206" s="48"/>
      <c r="F206" s="48"/>
    </row>
    <row r="207" spans="1:6" ht="162">
      <c r="A207" s="77"/>
      <c r="B207" s="46"/>
      <c r="C207" s="38" t="s">
        <v>98</v>
      </c>
      <c r="D207" s="47"/>
      <c r="E207" s="48"/>
      <c r="F207" s="48"/>
    </row>
    <row r="208" spans="1:6" ht="90">
      <c r="A208" s="77"/>
      <c r="B208" s="46"/>
      <c r="C208" s="38" t="s">
        <v>97</v>
      </c>
      <c r="D208" s="47"/>
      <c r="E208" s="48"/>
      <c r="F208" s="48"/>
    </row>
    <row r="209" spans="1:6" ht="90">
      <c r="A209" s="77"/>
      <c r="B209" s="46">
        <f>'Detailed Estimate'!J3004</f>
        <v>94</v>
      </c>
      <c r="C209" s="38" t="s">
        <v>96</v>
      </c>
      <c r="D209" s="47" t="s">
        <v>9</v>
      </c>
      <c r="E209" s="48">
        <f>Data!G988</f>
        <v>1250</v>
      </c>
      <c r="F209" s="50">
        <f>IF((B209="Qro"),"-",B209*E209)</f>
        <v>117500</v>
      </c>
    </row>
    <row r="210" spans="1:6">
      <c r="A210" s="77"/>
      <c r="B210" s="46"/>
      <c r="C210" s="38"/>
      <c r="D210" s="79"/>
      <c r="E210" s="48"/>
      <c r="F210" s="48"/>
    </row>
    <row r="211" spans="1:6" ht="324">
      <c r="A211" s="77">
        <f>A204+1</f>
        <v>59</v>
      </c>
      <c r="B211" s="46">
        <f>'Detailed Estimate'!J3014</f>
        <v>181</v>
      </c>
      <c r="C211" s="38" t="s">
        <v>889</v>
      </c>
      <c r="D211" s="47" t="s">
        <v>9</v>
      </c>
      <c r="E211" s="48">
        <f>Data!G992</f>
        <v>329</v>
      </c>
      <c r="F211" s="50">
        <f>IF((B211="Qro"),"-",B211*E211)</f>
        <v>59549</v>
      </c>
    </row>
    <row r="212" spans="1:6" ht="198">
      <c r="A212" s="77">
        <f>A211+1</f>
        <v>60</v>
      </c>
      <c r="B212" s="46">
        <f>'Detailed Estimate'!J3017</f>
        <v>50</v>
      </c>
      <c r="C212" s="38" t="s">
        <v>93</v>
      </c>
      <c r="D212" s="47" t="s">
        <v>51</v>
      </c>
      <c r="E212" s="48">
        <f>Data!G996</f>
        <v>450</v>
      </c>
      <c r="F212" s="50">
        <f>IF((B212="Qro"),"-",B212*E212)</f>
        <v>22500</v>
      </c>
    </row>
    <row r="213" spans="1:6" ht="342">
      <c r="A213" s="77">
        <f>A212+1</f>
        <v>61</v>
      </c>
      <c r="B213" s="46">
        <f>'Detailed Estimate'!J3028</f>
        <v>99</v>
      </c>
      <c r="C213" s="38" t="s">
        <v>1661</v>
      </c>
      <c r="D213" s="47" t="s">
        <v>52</v>
      </c>
      <c r="E213" s="48">
        <f>Data!G999</f>
        <v>6300</v>
      </c>
      <c r="F213" s="50">
        <f>IF((B213="Qro"),"-",B213*E213)</f>
        <v>623700</v>
      </c>
    </row>
    <row r="214" spans="1:6" ht="54">
      <c r="A214" s="77">
        <f>A213+1</f>
        <v>62</v>
      </c>
      <c r="B214" s="46"/>
      <c r="C214" s="38" t="s">
        <v>92</v>
      </c>
      <c r="D214" s="47"/>
      <c r="E214" s="48"/>
      <c r="F214" s="48"/>
    </row>
    <row r="215" spans="1:6" ht="126">
      <c r="A215" s="77"/>
      <c r="B215" s="46"/>
      <c r="C215" s="38" t="s">
        <v>91</v>
      </c>
      <c r="D215" s="47"/>
      <c r="E215" s="48"/>
      <c r="F215" s="48"/>
    </row>
    <row r="216" spans="1:6" ht="108">
      <c r="A216" s="77"/>
      <c r="B216" s="46"/>
      <c r="C216" s="38" t="s">
        <v>90</v>
      </c>
      <c r="D216" s="47"/>
      <c r="E216" s="48"/>
      <c r="F216" s="48"/>
    </row>
    <row r="217" spans="1:6" ht="54">
      <c r="A217" s="77"/>
      <c r="B217" s="46"/>
      <c r="C217" s="38" t="s">
        <v>89</v>
      </c>
      <c r="D217" s="47"/>
      <c r="E217" s="48"/>
      <c r="F217" s="48"/>
    </row>
    <row r="218" spans="1:6" ht="90">
      <c r="A218" s="77"/>
      <c r="B218" s="46">
        <f>'Detailed Estimate'!J3037</f>
        <v>21</v>
      </c>
      <c r="C218" s="38" t="s">
        <v>88</v>
      </c>
      <c r="D218" s="47" t="s">
        <v>9</v>
      </c>
      <c r="E218" s="48">
        <f>Data!G1007</f>
        <v>975</v>
      </c>
      <c r="F218" s="50">
        <f>IF((B218="Qro"),"-",B218*E218)</f>
        <v>20475</v>
      </c>
    </row>
    <row r="219" spans="1:6" ht="72">
      <c r="A219" s="77">
        <f>A214+1</f>
        <v>63</v>
      </c>
      <c r="B219" s="46"/>
      <c r="C219" s="38" t="s">
        <v>512</v>
      </c>
      <c r="D219" s="47"/>
      <c r="E219" s="48"/>
      <c r="F219" s="48"/>
    </row>
    <row r="220" spans="1:6" ht="90">
      <c r="A220" s="77"/>
      <c r="B220" s="46"/>
      <c r="C220" s="38" t="s">
        <v>87</v>
      </c>
      <c r="D220" s="47"/>
      <c r="E220" s="48"/>
      <c r="F220" s="48"/>
    </row>
    <row r="221" spans="1:6" ht="144">
      <c r="A221" s="77"/>
      <c r="B221" s="46"/>
      <c r="C221" s="38" t="s">
        <v>86</v>
      </c>
      <c r="D221" s="47"/>
      <c r="E221" s="48"/>
      <c r="F221" s="48"/>
    </row>
    <row r="222" spans="1:6" ht="72">
      <c r="A222" s="77"/>
      <c r="B222" s="46"/>
      <c r="C222" s="38" t="s">
        <v>543</v>
      </c>
      <c r="D222" s="47"/>
      <c r="E222" s="48"/>
      <c r="F222" s="48"/>
    </row>
    <row r="223" spans="1:6" ht="90">
      <c r="A223" s="77"/>
      <c r="B223" s="83">
        <f>'Detailed Estimate'!J3049</f>
        <v>29</v>
      </c>
      <c r="C223" s="38" t="s">
        <v>544</v>
      </c>
      <c r="D223" s="47" t="s">
        <v>9</v>
      </c>
      <c r="E223" s="48">
        <f>Data!G1007</f>
        <v>975</v>
      </c>
      <c r="F223" s="50">
        <f>IF((B223="Qro"),"-",B223*E223)</f>
        <v>28275</v>
      </c>
    </row>
    <row r="224" spans="1:6" ht="72">
      <c r="A224" s="77">
        <f>A219+1</f>
        <v>64</v>
      </c>
      <c r="B224" s="46"/>
      <c r="C224" s="49" t="s">
        <v>890</v>
      </c>
      <c r="D224" s="47"/>
      <c r="E224" s="48"/>
      <c r="F224" s="48"/>
    </row>
    <row r="225" spans="1:10" ht="72">
      <c r="A225" s="77"/>
      <c r="B225" s="46"/>
      <c r="C225" s="38" t="s">
        <v>84</v>
      </c>
      <c r="D225" s="47"/>
      <c r="E225" s="48"/>
      <c r="F225" s="48"/>
    </row>
    <row r="226" spans="1:10" ht="180">
      <c r="A226" s="77"/>
      <c r="B226" s="46"/>
      <c r="C226" s="38" t="s">
        <v>83</v>
      </c>
      <c r="D226" s="47"/>
      <c r="E226" s="48"/>
      <c r="F226" s="48"/>
    </row>
    <row r="227" spans="1:10" ht="144">
      <c r="A227" s="77"/>
      <c r="B227" s="46"/>
      <c r="C227" s="80" t="s">
        <v>82</v>
      </c>
      <c r="D227" s="47"/>
      <c r="E227" s="48"/>
      <c r="F227" s="48"/>
    </row>
    <row r="228" spans="1:10" ht="180">
      <c r="A228" s="77"/>
      <c r="B228" s="46"/>
      <c r="C228" s="80" t="s">
        <v>81</v>
      </c>
      <c r="D228" s="47"/>
      <c r="E228" s="48"/>
      <c r="F228" s="48"/>
    </row>
    <row r="229" spans="1:10" ht="162">
      <c r="A229" s="77"/>
      <c r="B229" s="46"/>
      <c r="C229" s="80" t="s">
        <v>80</v>
      </c>
      <c r="D229" s="47"/>
      <c r="E229" s="48"/>
      <c r="F229" s="48"/>
    </row>
    <row r="230" spans="1:10" ht="270">
      <c r="A230" s="77"/>
      <c r="B230" s="46">
        <f>'Detailed Estimate'!J3065</f>
        <v>600</v>
      </c>
      <c r="C230" s="80" t="s">
        <v>79</v>
      </c>
      <c r="D230" s="47" t="s">
        <v>9</v>
      </c>
      <c r="E230" s="48">
        <f>Data!G1025</f>
        <v>2250</v>
      </c>
      <c r="F230" s="50">
        <f>IF((B230="Qro"),"-",B230*E230)</f>
        <v>1350000</v>
      </c>
    </row>
    <row r="231" spans="1:10" ht="288">
      <c r="A231" s="168">
        <f>A224+1</f>
        <v>65</v>
      </c>
      <c r="B231" s="197">
        <f>'Detailed Estimate'!J3080</f>
        <v>626</v>
      </c>
      <c r="C231" s="343" t="s">
        <v>1422</v>
      </c>
      <c r="D231" s="271" t="s">
        <v>9</v>
      </c>
      <c r="E231" s="341">
        <f>Data!G1027</f>
        <v>1950</v>
      </c>
      <c r="F231" s="221">
        <f>IF((B231="Qro"),"-",B231*E231)</f>
        <v>1220700</v>
      </c>
      <c r="I231" s="475"/>
      <c r="J231" s="475"/>
    </row>
    <row r="232" spans="1:10">
      <c r="A232" s="77"/>
      <c r="B232" s="46"/>
      <c r="C232" s="81" t="s">
        <v>540</v>
      </c>
      <c r="D232" s="47"/>
      <c r="E232" s="48"/>
      <c r="F232" s="82">
        <f>SUM(F191:F231)</f>
        <v>3588799</v>
      </c>
    </row>
    <row r="233" spans="1:10">
      <c r="A233" s="77"/>
      <c r="B233" s="46"/>
      <c r="C233" s="85" t="s">
        <v>78</v>
      </c>
      <c r="D233" s="79"/>
      <c r="E233" s="48"/>
      <c r="F233" s="48"/>
    </row>
    <row r="234" spans="1:10" ht="198">
      <c r="A234" s="77">
        <f>A231+1</f>
        <v>66</v>
      </c>
      <c r="B234" s="46">
        <f>'Detailed Estimate'!J3086</f>
        <v>54</v>
      </c>
      <c r="C234" s="49" t="s">
        <v>77</v>
      </c>
      <c r="D234" s="47" t="s">
        <v>2</v>
      </c>
      <c r="E234" s="344">
        <f>Data!G1033</f>
        <v>244.2</v>
      </c>
      <c r="F234" s="50">
        <f>IF((B234="Qro"),"-",B234*E234)</f>
        <v>13186.8</v>
      </c>
    </row>
    <row r="235" spans="1:10" ht="198">
      <c r="A235" s="77">
        <f>A234+1</f>
        <v>67</v>
      </c>
      <c r="B235" s="46"/>
      <c r="C235" s="49" t="s">
        <v>76</v>
      </c>
      <c r="D235" s="79"/>
      <c r="E235" s="48"/>
      <c r="F235" s="48"/>
    </row>
    <row r="236" spans="1:10" ht="36">
      <c r="A236" s="77" t="s">
        <v>71</v>
      </c>
      <c r="B236" s="83">
        <f>'Detailed Estimate'!J3092</f>
        <v>10</v>
      </c>
      <c r="C236" s="80" t="s">
        <v>522</v>
      </c>
      <c r="D236" s="47" t="s">
        <v>2</v>
      </c>
      <c r="E236" s="48">
        <f>Data!G1037</f>
        <v>1864</v>
      </c>
      <c r="F236" s="50">
        <f>IF((B236="Qro"),"-",B236*E236)</f>
        <v>18640</v>
      </c>
    </row>
    <row r="237" spans="1:10" ht="129" customHeight="1">
      <c r="A237" s="77">
        <f>A235+1</f>
        <v>68</v>
      </c>
      <c r="B237" s="46"/>
      <c r="C237" s="49" t="s">
        <v>75</v>
      </c>
      <c r="D237" s="47"/>
      <c r="E237" s="48"/>
      <c r="F237" s="48"/>
    </row>
    <row r="238" spans="1:10" ht="36">
      <c r="A238" s="77" t="s">
        <v>71</v>
      </c>
      <c r="B238" s="46">
        <f>'Detailed Estimate'!J3094</f>
        <v>10</v>
      </c>
      <c r="C238" s="49" t="s">
        <v>74</v>
      </c>
      <c r="D238" s="47" t="s">
        <v>722</v>
      </c>
      <c r="E238" s="48">
        <f>Data!G1051</f>
        <v>2463.16</v>
      </c>
      <c r="F238" s="50">
        <f>IF((B238="Qro"),"-",B238*E238)</f>
        <v>24631.599999999999</v>
      </c>
    </row>
    <row r="239" spans="1:10" ht="125.25" customHeight="1">
      <c r="A239" s="77">
        <f>A237+1</f>
        <v>69</v>
      </c>
      <c r="B239" s="46">
        <f>'Detailed Estimate'!J3100</f>
        <v>34</v>
      </c>
      <c r="C239" s="49" t="s">
        <v>891</v>
      </c>
      <c r="D239" s="47" t="s">
        <v>165</v>
      </c>
      <c r="E239" s="48">
        <f>Data!G1054</f>
        <v>2575</v>
      </c>
      <c r="F239" s="50">
        <f>IF((B239="Qro"),"-",B239*E239)</f>
        <v>87550</v>
      </c>
    </row>
    <row r="240" spans="1:10" ht="288">
      <c r="A240" s="77">
        <f>A239+1</f>
        <v>70</v>
      </c>
      <c r="B240" s="46"/>
      <c r="C240" s="49" t="s">
        <v>1423</v>
      </c>
      <c r="D240" s="47"/>
      <c r="E240" s="48"/>
      <c r="F240" s="50"/>
    </row>
    <row r="241" spans="1:8" ht="252">
      <c r="A241" s="77"/>
      <c r="B241" s="46"/>
      <c r="C241" s="49" t="s">
        <v>542</v>
      </c>
      <c r="D241" s="47"/>
      <c r="E241" s="48"/>
      <c r="F241" s="50"/>
    </row>
    <row r="242" spans="1:8">
      <c r="A242" s="77" t="s">
        <v>71</v>
      </c>
      <c r="B242" s="46">
        <f>'Detailed Estimate'!J3109</f>
        <v>930</v>
      </c>
      <c r="C242" s="49" t="s">
        <v>1605</v>
      </c>
      <c r="D242" s="47" t="s">
        <v>754</v>
      </c>
      <c r="E242" s="48">
        <f>Data!G1058</f>
        <v>123.75</v>
      </c>
      <c r="F242" s="50">
        <f t="shared" ref="F242:F245" si="14">IF((B242="Qro"),"-",B242*E242)</f>
        <v>115087.5</v>
      </c>
    </row>
    <row r="243" spans="1:8" ht="360">
      <c r="A243" s="77">
        <f>A240+1</f>
        <v>71</v>
      </c>
      <c r="B243" s="46">
        <f>'Detailed Estimate'!J3111</f>
        <v>50</v>
      </c>
      <c r="C243" s="38" t="s">
        <v>73</v>
      </c>
      <c r="D243" s="47" t="s">
        <v>754</v>
      </c>
      <c r="E243" s="48">
        <f>Data!G1065</f>
        <v>123.75</v>
      </c>
      <c r="F243" s="50">
        <f t="shared" si="14"/>
        <v>6187.5</v>
      </c>
    </row>
    <row r="244" spans="1:8" ht="396">
      <c r="A244" s="77">
        <f>+A243+1</f>
        <v>72</v>
      </c>
      <c r="B244" s="46">
        <f>'Detailed Estimate'!J3122</f>
        <v>345</v>
      </c>
      <c r="C244" s="38" t="s">
        <v>892</v>
      </c>
      <c r="D244" s="47" t="s">
        <v>471</v>
      </c>
      <c r="E244" s="48">
        <f>Data!G1072</f>
        <v>116.14915103360929</v>
      </c>
      <c r="F244" s="50">
        <f t="shared" si="14"/>
        <v>40071.457106595204</v>
      </c>
    </row>
    <row r="245" spans="1:8" ht="144">
      <c r="A245" s="77">
        <f>A244+1</f>
        <v>73</v>
      </c>
      <c r="B245" s="46">
        <f>'Detailed Estimate'!J3124</f>
        <v>10</v>
      </c>
      <c r="C245" s="49" t="s">
        <v>568</v>
      </c>
      <c r="D245" s="47" t="s">
        <v>52</v>
      </c>
      <c r="E245" s="48">
        <f>Data!G1078</f>
        <v>1263.9399999999998</v>
      </c>
      <c r="F245" s="50">
        <f t="shared" si="14"/>
        <v>12639.399999999998</v>
      </c>
    </row>
    <row r="246" spans="1:8">
      <c r="A246" s="77"/>
      <c r="B246" s="46"/>
      <c r="C246" s="81" t="s">
        <v>540</v>
      </c>
      <c r="D246" s="47"/>
      <c r="E246" s="48"/>
      <c r="F246" s="82">
        <f>SUM(F234:F245)</f>
        <v>317994.25710659527</v>
      </c>
    </row>
    <row r="247" spans="1:8">
      <c r="A247" s="77"/>
      <c r="B247" s="46"/>
      <c r="C247" s="90" t="s">
        <v>72</v>
      </c>
      <c r="D247" s="47"/>
      <c r="E247" s="48"/>
      <c r="F247" s="48"/>
    </row>
    <row r="248" spans="1:8" ht="36">
      <c r="A248" s="77">
        <f>A245+1</f>
        <v>74</v>
      </c>
      <c r="B248" s="46"/>
      <c r="C248" s="49" t="s">
        <v>782</v>
      </c>
      <c r="D248" s="47"/>
      <c r="E248" s="48"/>
      <c r="F248" s="50"/>
      <c r="G248" s="92"/>
    </row>
    <row r="249" spans="1:8" ht="378">
      <c r="A249" s="77" t="s">
        <v>71</v>
      </c>
      <c r="B249" s="46">
        <f>'Detailed Estimate'!J3130</f>
        <v>2</v>
      </c>
      <c r="C249" s="273" t="s">
        <v>1432</v>
      </c>
      <c r="D249" s="47" t="s">
        <v>51</v>
      </c>
      <c r="E249" s="48">
        <f>Data!E1083</f>
        <v>70000</v>
      </c>
      <c r="F249" s="50">
        <f>IF((B249="Qro"),"-",B249*E249)</f>
        <v>140000</v>
      </c>
      <c r="G249" s="92"/>
    </row>
    <row r="250" spans="1:8" ht="54">
      <c r="A250" s="77"/>
      <c r="B250" s="46"/>
      <c r="C250" s="49" t="s">
        <v>783</v>
      </c>
      <c r="D250" s="47"/>
      <c r="E250" s="48"/>
      <c r="F250" s="50"/>
      <c r="G250" s="92"/>
    </row>
    <row r="251" spans="1:8" ht="409.5">
      <c r="A251" s="77" t="s">
        <v>70</v>
      </c>
      <c r="B251" s="46">
        <f>'Detailed Estimate'!J3134</f>
        <v>10</v>
      </c>
      <c r="C251" s="49" t="s">
        <v>1875</v>
      </c>
      <c r="D251" s="47" t="s">
        <v>9</v>
      </c>
      <c r="E251" s="48">
        <f>Data!E1086</f>
        <v>7200</v>
      </c>
      <c r="F251" s="50">
        <f>IF((B251="Qro"),"-",B251*E251)</f>
        <v>72000</v>
      </c>
      <c r="G251" s="92"/>
    </row>
    <row r="252" spans="1:8">
      <c r="A252" s="77"/>
      <c r="B252" s="46"/>
      <c r="C252" s="81" t="s">
        <v>540</v>
      </c>
      <c r="D252" s="47"/>
      <c r="E252" s="48"/>
      <c r="F252" s="82">
        <f>SUM(F248:F251)</f>
        <v>212000</v>
      </c>
    </row>
    <row r="253" spans="1:8" ht="36">
      <c r="A253" s="77">
        <f>A248+1</f>
        <v>75</v>
      </c>
      <c r="B253" s="46"/>
      <c r="C253" s="37" t="s">
        <v>734</v>
      </c>
      <c r="D253" s="47"/>
      <c r="E253" s="48"/>
      <c r="F253" s="48"/>
    </row>
    <row r="254" spans="1:8" ht="36">
      <c r="A254" s="77" t="s">
        <v>71</v>
      </c>
      <c r="B254" s="46">
        <f>'Detailed Estimate'!J3157</f>
        <v>1</v>
      </c>
      <c r="C254" s="49" t="s">
        <v>739</v>
      </c>
      <c r="D254" s="47" t="s">
        <v>165</v>
      </c>
      <c r="E254" s="48">
        <f>Data!G1090</f>
        <v>1857100</v>
      </c>
      <c r="F254" s="50">
        <f>IF((B254="Qro"),"-",B254*E254)</f>
        <v>1857100</v>
      </c>
      <c r="H254" s="86"/>
    </row>
    <row r="255" spans="1:8" ht="126">
      <c r="A255" s="77" t="s">
        <v>70</v>
      </c>
      <c r="B255" s="46">
        <f>'Detailed Estimate'!J3159</f>
        <v>1</v>
      </c>
      <c r="C255" s="49" t="s">
        <v>735</v>
      </c>
      <c r="D255" s="47" t="s">
        <v>736</v>
      </c>
      <c r="E255" s="48">
        <f>Data!G1093</f>
        <v>100000</v>
      </c>
      <c r="F255" s="50">
        <f>IF((B255="Qro"),"-",B255*E255)</f>
        <v>100000</v>
      </c>
    </row>
    <row r="256" spans="1:8">
      <c r="A256" s="77"/>
      <c r="B256" s="46"/>
      <c r="C256" s="81" t="s">
        <v>540</v>
      </c>
      <c r="D256" s="47"/>
      <c r="E256" s="48"/>
      <c r="F256" s="82">
        <f>SUM(F254:F255)</f>
        <v>1957100</v>
      </c>
    </row>
    <row r="257" spans="1:7" ht="24.95" customHeight="1">
      <c r="A257" s="77"/>
      <c r="B257" s="46"/>
      <c r="C257" s="90" t="s">
        <v>541</v>
      </c>
      <c r="D257" s="47"/>
      <c r="E257" s="48"/>
      <c r="F257" s="82">
        <f>F256+F252+F246+F232+F189+F182+F176+F169+F163+F134+F128+F102+F59+F50+F27+F22</f>
        <v>62282067.256714135</v>
      </c>
    </row>
    <row r="258" spans="1:7">
      <c r="A258" s="77">
        <f>A253+1</f>
        <v>76</v>
      </c>
      <c r="B258" s="46"/>
      <c r="C258" s="37" t="s">
        <v>1415</v>
      </c>
      <c r="D258" s="47"/>
      <c r="E258" s="48"/>
      <c r="F258" s="50"/>
    </row>
    <row r="259" spans="1:7">
      <c r="A259" s="77" t="s">
        <v>71</v>
      </c>
      <c r="B259" s="46"/>
      <c r="C259" s="447" t="s">
        <v>659</v>
      </c>
      <c r="D259" s="47"/>
      <c r="E259" s="48"/>
      <c r="F259" s="82"/>
      <c r="G259" s="86"/>
    </row>
    <row r="260" spans="1:7" ht="216">
      <c r="A260" s="77"/>
      <c r="B260" s="46"/>
      <c r="C260" s="49" t="s">
        <v>1886</v>
      </c>
      <c r="D260" s="47"/>
      <c r="E260" s="48"/>
      <c r="F260" s="82"/>
      <c r="G260" s="86"/>
    </row>
    <row r="261" spans="1:7" ht="357.75" customHeight="1">
      <c r="A261" s="77"/>
      <c r="B261" s="46"/>
      <c r="C261" s="49" t="s">
        <v>559</v>
      </c>
      <c r="D261" s="47"/>
      <c r="E261" s="48"/>
      <c r="F261" s="82"/>
      <c r="G261" s="86"/>
    </row>
    <row r="262" spans="1:7" ht="324">
      <c r="A262" s="77"/>
      <c r="B262" s="46"/>
      <c r="C262" s="49" t="s">
        <v>1647</v>
      </c>
      <c r="D262" s="47"/>
      <c r="E262" s="48"/>
      <c r="F262" s="82"/>
      <c r="G262" s="86"/>
    </row>
    <row r="263" spans="1:7">
      <c r="A263" s="77"/>
      <c r="B263" s="46">
        <f>'Detailed Estimate'!J3171</f>
        <v>255</v>
      </c>
      <c r="C263" s="49" t="s">
        <v>142</v>
      </c>
      <c r="D263" s="271" t="s">
        <v>52</v>
      </c>
      <c r="E263" s="137">
        <f>Data!G80</f>
        <v>118.21666666666667</v>
      </c>
      <c r="F263" s="221">
        <f>IF((B263="Qro"),"-",B263*E263)</f>
        <v>30145.25</v>
      </c>
      <c r="G263" s="86"/>
    </row>
    <row r="264" spans="1:7" ht="198">
      <c r="A264" s="168" t="s">
        <v>70</v>
      </c>
      <c r="B264" s="197">
        <f>'Detailed Estimate'!J3182</f>
        <v>848</v>
      </c>
      <c r="C264" s="270" t="s">
        <v>1413</v>
      </c>
      <c r="D264" s="271" t="s">
        <v>9</v>
      </c>
      <c r="E264" s="214">
        <f>Data!G1110</f>
        <v>98</v>
      </c>
      <c r="F264" s="221">
        <f>IF((B264="Qro"),"-",B264*E264)</f>
        <v>83104</v>
      </c>
    </row>
    <row r="265" spans="1:7" ht="162">
      <c r="A265" s="168" t="s">
        <v>69</v>
      </c>
      <c r="B265" s="197">
        <f>'Detailed Estimate'!J3193</f>
        <v>255</v>
      </c>
      <c r="C265" s="270" t="s">
        <v>1414</v>
      </c>
      <c r="D265" s="271" t="s">
        <v>52</v>
      </c>
      <c r="E265" s="214">
        <f>Data!G1175</f>
        <v>1439</v>
      </c>
      <c r="F265" s="221">
        <f>IF((B265="Qro"),"-",B265*E265)</f>
        <v>366945</v>
      </c>
    </row>
    <row r="266" spans="1:7" ht="270">
      <c r="A266" s="168" t="s">
        <v>68</v>
      </c>
      <c r="B266" s="197">
        <f>'Detailed Estimate'!J3220</f>
        <v>835</v>
      </c>
      <c r="C266" s="270" t="s">
        <v>1662</v>
      </c>
      <c r="D266" s="271" t="s">
        <v>9</v>
      </c>
      <c r="E266" s="214">
        <f>Data!G1188</f>
        <v>1251.76864</v>
      </c>
      <c r="F266" s="221">
        <f>IF((B266="Qro"),"-",B266*E266)</f>
        <v>1045226.8144</v>
      </c>
    </row>
    <row r="267" spans="1:7" ht="306">
      <c r="A267" s="168" t="s">
        <v>67</v>
      </c>
      <c r="B267" s="197">
        <f>'Detailed Estimate'!J3225</f>
        <v>58</v>
      </c>
      <c r="C267" s="270" t="s">
        <v>1663</v>
      </c>
      <c r="D267" s="179" t="s">
        <v>33</v>
      </c>
      <c r="E267" s="214">
        <f>Data!G1190</f>
        <v>1350</v>
      </c>
      <c r="F267" s="221">
        <f>IF((B267="Qro"),"-",B267*E267)</f>
        <v>78300</v>
      </c>
    </row>
    <row r="268" spans="1:7">
      <c r="A268" s="77"/>
      <c r="B268" s="46"/>
      <c r="C268" s="81" t="s">
        <v>540</v>
      </c>
      <c r="D268" s="47"/>
      <c r="E268" s="48"/>
      <c r="F268" s="82">
        <f>SUM(F261:F267)</f>
        <v>1603721.0644</v>
      </c>
    </row>
    <row r="269" spans="1:7">
      <c r="A269" s="77">
        <f>A258+1</f>
        <v>77</v>
      </c>
      <c r="B269" s="46"/>
      <c r="C269" s="173" t="s">
        <v>1736</v>
      </c>
      <c r="D269" s="47"/>
      <c r="E269" s="48"/>
      <c r="F269" s="82"/>
      <c r="G269" s="86"/>
    </row>
    <row r="270" spans="1:7">
      <c r="A270" s="77" t="s">
        <v>772</v>
      </c>
      <c r="B270" s="46"/>
      <c r="C270" s="447" t="str">
        <f>C4</f>
        <v>Earthwork Excavation &amp; Backfilling</v>
      </c>
      <c r="D270" s="47"/>
      <c r="E270" s="48"/>
      <c r="F270" s="82"/>
      <c r="G270" s="86"/>
    </row>
    <row r="271" spans="1:7" ht="216">
      <c r="A271" s="77"/>
      <c r="B271" s="46"/>
      <c r="C271" s="449" t="str">
        <f>C5</f>
        <v>Earth work excavation / open excavation for foundation in all type of soils and sub soils to the required depth as directed including dense soil, disintegrated/weathered/soft rock not requiring blasting for Footings, Pile caps, Lift pits, etc... by mechanical means including manual excavation for levelling, dressing of sides and ramming of bottom with all leads and lifts, shoring, strutting and baling out water wherever necessary etc., as complete with all respects complying with relevant standard specification and as directed by the departmental officers.</v>
      </c>
      <c r="D271" s="47"/>
      <c r="E271" s="48"/>
      <c r="F271" s="82"/>
      <c r="G271" s="86"/>
    </row>
    <row r="272" spans="1:7" ht="357.75" customHeight="1">
      <c r="A272" s="77"/>
      <c r="B272" s="46"/>
      <c r="C272" s="452" t="str">
        <f>C6</f>
        <v>Rate to include backfilling, levelling, dressing of sides and ramming of bottom with all leads, lifts and filling  inside the building plinth level including necessary compaction in layers of 150mm thick each complete as directed and dressing to proper level and graded as required etc, loading, unloading, plant and machinery, hire and fuel charges for tools and plants, shoring, strutting required to keep the earth in position and baling out water, dewatering of all ground, surface and rain water, removal of slurry generated while excavation and keeping the area free from water, removal of loose pockets, slips and falls during excavation and compacting the same, Slinging or supporting pipes, electric cables, royalties, Seignorage and taking statutory approvals as necessary to carry out the work as complete with all respects complying with relevant standard specification, as directed by the departmental officers.</v>
      </c>
      <c r="D272" s="47"/>
      <c r="E272" s="48"/>
      <c r="F272" s="82"/>
      <c r="G272" s="86"/>
    </row>
    <row r="273" spans="1:7" ht="324">
      <c r="A273" s="77"/>
      <c r="B273" s="46"/>
      <c r="C273" s="449" t="str">
        <f>C7</f>
        <v xml:space="preserve">Note: Rate to include for extra earthwork including authorized working space as per IS 1200 and provision of slopes, space for scaffolding, shuttering, shoring, strutting etc., Additional excavation if required for execution shall not be paid separately.  The contractor shall keep the foundations dewatered and also arrange to drain them off by suitable drains and other means and keep the work place free from flooding / water logging and fit for carrying on the work unhindered. The contractor shall give a methodology of shoring, methodology of execution of excavation work and methodology for dewatering  for the approval of  departmental officers. (Only the PCC outer to outer dimension will be consider for the area of excavation and depth as per the actual ie depth till the bottom of M.Sand filling below the PCC as per drawing) </v>
      </c>
      <c r="D273" s="47"/>
      <c r="E273" s="48"/>
      <c r="F273" s="82"/>
      <c r="G273" s="86"/>
    </row>
    <row r="274" spans="1:7">
      <c r="A274" s="77"/>
      <c r="B274" s="46">
        <f>'Detailed Estimate'!J3252</f>
        <v>115</v>
      </c>
      <c r="C274" s="449" t="s">
        <v>142</v>
      </c>
      <c r="D274" s="176" t="s">
        <v>52</v>
      </c>
      <c r="E274" s="137">
        <f>Data!G71</f>
        <v>224.81666666666666</v>
      </c>
      <c r="F274" s="221">
        <f>IF((B274="Qro"),"-",B274*E274)</f>
        <v>25853.916666666668</v>
      </c>
      <c r="G274" s="86"/>
    </row>
    <row r="275" spans="1:7" ht="378">
      <c r="A275" s="77" t="s">
        <v>922</v>
      </c>
      <c r="B275" s="46"/>
      <c r="C275" s="449" t="s">
        <v>141</v>
      </c>
      <c r="D275" s="47"/>
      <c r="E275" s="48"/>
      <c r="F275" s="82"/>
      <c r="G275" s="86"/>
    </row>
    <row r="276" spans="1:7">
      <c r="A276" s="77"/>
      <c r="B276" s="46">
        <f>'Detailed Estimate'!J3278</f>
        <v>12</v>
      </c>
      <c r="C276" s="449" t="s">
        <v>1648</v>
      </c>
      <c r="D276" s="176" t="str">
        <f>D19</f>
        <v>Cum</v>
      </c>
      <c r="E276" s="137">
        <f>Data!G118</f>
        <v>1478.53</v>
      </c>
      <c r="F276" s="221">
        <f>IF((B276="Qro"),"-",B276*E276)</f>
        <v>17742.36</v>
      </c>
      <c r="G276" s="86"/>
    </row>
    <row r="277" spans="1:7">
      <c r="A277" s="77" t="s">
        <v>924</v>
      </c>
      <c r="B277" s="83"/>
      <c r="C277" s="447" t="str">
        <f>C28</f>
        <v>CONCRETE WORKS</v>
      </c>
      <c r="D277" s="79"/>
      <c r="E277" s="448"/>
      <c r="F277" s="448"/>
    </row>
    <row r="278" spans="1:7" ht="216">
      <c r="A278" s="77"/>
      <c r="B278" s="83">
        <f>'Detailed Estimate'!J3304</f>
        <v>12</v>
      </c>
      <c r="C278" s="449" t="str">
        <f>C29</f>
        <v>Providing and laying Plain Cement Concrete 1:4:8 (1 of cement : 4 of M.Sand : 8 of hard broken stone jelly) using coarse graded aggregate of 40 mm for levelling course under footing, pile cap, steps, walls, raft, retaining wall, drains, kerb and median, platform etc. including all shuttering materials, labour charges, wastages , mixing, curing compaction, transportation,  necessary lead and lifts etc. as complete with all respects complying with relevant standard specification as per IS 456-2000 and as directed by the   departmental officers.</v>
      </c>
      <c r="D278" s="176" t="str">
        <f>D29</f>
        <v>Cum</v>
      </c>
      <c r="E278" s="137">
        <f>E29</f>
        <v>4716</v>
      </c>
      <c r="F278" s="221">
        <f>IF((B278="Qro"),"-",B278*E278)</f>
        <v>56592</v>
      </c>
    </row>
    <row r="279" spans="1:7">
      <c r="A279" s="77" t="s">
        <v>929</v>
      </c>
      <c r="B279" s="83"/>
      <c r="C279" s="450" t="str">
        <f>C31</f>
        <v>REINFORCED CEMENT CONCRETE</v>
      </c>
      <c r="D279" s="79"/>
      <c r="E279" s="448"/>
      <c r="F279" s="448"/>
    </row>
    <row r="280" spans="1:7" ht="409.5">
      <c r="A280" s="77"/>
      <c r="B280" s="83"/>
      <c r="C280" s="449" t="str">
        <f>C32</f>
        <v xml:space="preserve">Providing and laying in position, Standardised Concrete Mix M-30 Grade in accordance with IS:456-2000, using 20mm and down graded hard broken granite stone jelly for all RCC items of works with minimum cement content of 400 kg/mᶾ and maximum water cement ratio of 0.45, including admixture (plasticiser / super plasticiser) in recommended proportions as per IS:9103 to accelerate, retard setting of concrete, improve workability without impairing strength and durability with about (5.0 cu.m.) 7730 kg. of 20mm machine crushed stone jelly and with about (3.3 cu.m.) 5156 kg. of 10-12mm machine crushed stone jelly and with about (4.79 cu.m.) 7670 kg. of M.Sand, but excluding cost of reinforcement grill and fabricating charges, centering and shuttering and also including laying, vibrating with mechanical vibrators, finishing, curing, etc. and providing fixtures like fan clamps in the RCC floor/ roof slabs wherever necessary without claiming extra, etc., complete complying with standard specification and as directed by the departmental officers.  </v>
      </c>
      <c r="D280" s="176"/>
      <c r="E280" s="449"/>
      <c r="F280" s="448"/>
    </row>
    <row r="281" spans="1:7">
      <c r="A281" s="77"/>
      <c r="B281" s="83">
        <f>'Detailed Estimate'!J3348</f>
        <v>46</v>
      </c>
      <c r="C281" s="449" t="str">
        <f>C33</f>
        <v>Foundation / Basement</v>
      </c>
      <c r="D281" s="176" t="str">
        <f>D33</f>
        <v xml:space="preserve"> Cum</v>
      </c>
      <c r="E281" s="137">
        <f>E33</f>
        <v>8055</v>
      </c>
      <c r="F281" s="221">
        <f>IF((B281="Qro"),"-",B281*E281)</f>
        <v>370530</v>
      </c>
    </row>
    <row r="282" spans="1:7" ht="263.25" customHeight="1">
      <c r="A282" s="77" t="s">
        <v>932</v>
      </c>
      <c r="B282" s="83">
        <f>'Detailed Estimate'!J3354</f>
        <v>6</v>
      </c>
      <c r="C282" s="449" t="str">
        <f>C49</f>
        <v>Supplying, fabricating and fixing in position of steel  Fe 550D grade Reinforcement for all RCC work with Thermo Mechanically Treated Bars (TMT) conforming to IS 1786 of latest version according to drawings and binding the reinforcement with 18 gauge double fold GI binding wire and providing Concrete / PVC cover blocks to maintain the cover as required. Rate to include all bending, tying grills, placing, transportation, lead &amp; lifts, tools &amp; plants, fuels, all materials, labour charges, wastages , laying at all levels, fixing in position, cost of cover blocks, etc. as complete with all respects complying with relevant standard specification, as directed by the departmental officers.</v>
      </c>
      <c r="D282" s="449" t="str">
        <f>D49</f>
        <v>MT</v>
      </c>
      <c r="E282" s="137">
        <f>E49</f>
        <v>89215.02</v>
      </c>
      <c r="F282" s="221">
        <f>IF((B282="Qro"),"-",B282*E282)</f>
        <v>535290.12</v>
      </c>
    </row>
    <row r="283" spans="1:7">
      <c r="A283" s="77" t="s">
        <v>940</v>
      </c>
      <c r="B283" s="83"/>
      <c r="C283" s="450" t="str">
        <f>C51</f>
        <v>FORM WORK</v>
      </c>
      <c r="D283" s="79"/>
      <c r="E283" s="448"/>
      <c r="F283" s="448"/>
    </row>
    <row r="284" spans="1:7" ht="270">
      <c r="A284" s="77"/>
      <c r="B284" s="83"/>
      <c r="C284" s="449" t="str">
        <f>C52</f>
        <v>Supplying and erecting centering for sides and soffits including supports and strutting up to 3.30 m height with all cross bracing for plane surfaces as detailed below, using mild steel sheets of 90 X 60 cm 10 gauge stiffened with MS angle of 25 X 25 X 3mm for boarding, laid over adjustable span &amp; jacks and supported by 50mm dia pipes for general pipes scaffolding systems @ a spacing of 1.20m c/c and vertical connected at a height of 2.0m c/c including 'C' &amp; 'U' clamps and base receiver cup at bottom for connecting pipes etc and removable systems etc...as complete with all respects complying with relevant standard specification, as directed by the departmental officers/ Consultant.</v>
      </c>
      <c r="D284" s="79"/>
      <c r="E284" s="448"/>
      <c r="F284" s="448"/>
    </row>
    <row r="285" spans="1:7" ht="72">
      <c r="A285" s="77"/>
      <c r="B285" s="83">
        <f>'Detailed Estimate'!J3391</f>
        <v>173</v>
      </c>
      <c r="C285" s="449" t="str">
        <f>C53</f>
        <v xml:space="preserve">Reinforced cement concrete Column footing, plinth / grade beam, bed blocks, template surfaces, steps, piers, pile cap, raft slab / beams, RC Binders and such other members </v>
      </c>
      <c r="D285" s="176" t="str">
        <f>D53</f>
        <v>Sqm</v>
      </c>
      <c r="E285" s="137">
        <f>E53</f>
        <v>812.33699999999999</v>
      </c>
      <c r="F285" s="221">
        <f>IF((B285="Qro"),"-",B285*E285)</f>
        <v>140534.30100000001</v>
      </c>
    </row>
    <row r="286" spans="1:7" ht="72">
      <c r="A286" s="77"/>
      <c r="B286" s="83">
        <f>'Detailed Estimate'!J3425</f>
        <v>28</v>
      </c>
      <c r="C286" s="449" t="str">
        <f>C55</f>
        <v>For plane surfaces such as rectangular, square columns and chamfered sunshades, top and bottom slab of boxing, kitchen platform, loft and such other structural members</v>
      </c>
      <c r="D286" s="176" t="str">
        <f t="shared" ref="D286:E286" si="15">D55</f>
        <v>Sqm</v>
      </c>
      <c r="E286" s="137">
        <f t="shared" si="15"/>
        <v>1090.9956000000002</v>
      </c>
      <c r="F286" s="221">
        <f>IF((B286="Qro"),"-",B286*E286)</f>
        <v>30547.876800000005</v>
      </c>
    </row>
    <row r="287" spans="1:7">
      <c r="A287" s="77" t="s">
        <v>944</v>
      </c>
      <c r="B287" s="83"/>
      <c r="C287" s="450" t="str">
        <f>C60</f>
        <v>MASONRY WORKS</v>
      </c>
      <c r="D287" s="79"/>
      <c r="E287" s="448"/>
      <c r="F287" s="448"/>
    </row>
    <row r="288" spans="1:7" ht="306">
      <c r="A288" s="77"/>
      <c r="B288" s="83"/>
      <c r="C288" s="449" t="str">
        <f>C61</f>
        <v>Providing and constructing cement concrete solid block masonry work at all levels in cement mortar 1:5 using standard size of 400 x 200 x 200 mm thick of solid cement concrete blocks of thickness as given below, with minimum compressive strength of 5 N/Sq.mm. conforming to IS 2185 or equivalent BS and Fly ash conforming to IS : 3812 (Part III)-1966* may be used for part replacement of fine aggregate up to a limit of 20 percent. etc. complete and as directed. Rate to include all materials, labour charges, wastages  for working at all levels with necessary lead and lifts, transportation charges, loading, unloading, scaffolding, staging, curing, fuel, consumables as complete with all respects complying with relevant standard specification and as directed by the departmental officers.</v>
      </c>
      <c r="D288" s="79"/>
      <c r="E288" s="448"/>
      <c r="F288" s="448"/>
    </row>
    <row r="289" spans="1:7">
      <c r="A289" s="77"/>
      <c r="B289" s="83">
        <f>'Detailed Estimate'!J3434</f>
        <v>0</v>
      </c>
      <c r="C289" s="449" t="str">
        <f>C63</f>
        <v>Solid block of size 400 x 200 x 200 mm</v>
      </c>
      <c r="D289" s="176" t="str">
        <f>D63</f>
        <v>Sqm</v>
      </c>
      <c r="E289" s="449">
        <f>E63</f>
        <v>1425</v>
      </c>
      <c r="F289" s="221">
        <f>IF((B289="Qro"),"-",B289*E289)</f>
        <v>0</v>
      </c>
    </row>
    <row r="290" spans="1:7">
      <c r="A290" s="77" t="s">
        <v>947</v>
      </c>
      <c r="B290" s="83"/>
      <c r="C290" s="450" t="str">
        <f>C177</f>
        <v xml:space="preserve">PLASTERING WORKS </v>
      </c>
      <c r="D290" s="79"/>
      <c r="E290" s="448"/>
      <c r="F290" s="448"/>
    </row>
    <row r="291" spans="1:7" ht="234">
      <c r="A291" s="77"/>
      <c r="B291" s="83">
        <f>'Detailed Estimate'!J3442</f>
        <v>0</v>
      </c>
      <c r="C291" s="449" t="str">
        <f>C179</f>
        <v>Plastering 15 mm thick for external surfaces with C.M1:5  (1 of cement : 5 of P.sand) including water proofing compound of “CICO No.1 or equivalent“ as per Manufacturer's Specification with sponge finish (washed sand finish) all complete as per specification and as directed.The rate shall include for include for necessary hacking, staging, scaffolding and curing at all levels and elevations and for providing drip bands / moulds / grooves to any size and shape etc.. as complete with all respects complying with relevant standard specification, as directed by the departmental officers.</v>
      </c>
      <c r="D291" s="176" t="str">
        <f>D179</f>
        <v>Sqm</v>
      </c>
      <c r="E291" s="449">
        <f>E179</f>
        <v>331</v>
      </c>
      <c r="F291" s="221">
        <f>IF((B291="Qro"),"-",B291*E291)</f>
        <v>0</v>
      </c>
    </row>
    <row r="292" spans="1:7">
      <c r="A292" s="77" t="s">
        <v>63</v>
      </c>
      <c r="B292" s="83"/>
      <c r="C292" s="450" t="s">
        <v>1857</v>
      </c>
      <c r="D292" s="176"/>
      <c r="E292" s="449"/>
      <c r="F292" s="221"/>
    </row>
    <row r="293" spans="1:7" ht="180">
      <c r="A293" s="77"/>
      <c r="B293" s="83">
        <f>'Detailed Estimate'!J3449</f>
        <v>673</v>
      </c>
      <c r="C293" s="449" t="s">
        <v>1858</v>
      </c>
      <c r="D293" s="449" t="s">
        <v>9</v>
      </c>
      <c r="E293" s="465">
        <f>Data!G1206</f>
        <v>183.10300000000001</v>
      </c>
      <c r="F293" s="221">
        <f>IF((B293="Qro"),"-",B293*E293)</f>
        <v>123228.319</v>
      </c>
    </row>
    <row r="294" spans="1:7">
      <c r="A294" s="77" t="s">
        <v>1572</v>
      </c>
      <c r="B294" s="83"/>
      <c r="C294" s="447" t="s">
        <v>1846</v>
      </c>
      <c r="D294" s="449"/>
      <c r="E294" s="449"/>
      <c r="F294" s="221"/>
    </row>
    <row r="295" spans="1:7" ht="36">
      <c r="A295" s="77"/>
      <c r="B295" s="83"/>
      <c r="C295" s="449" t="s">
        <v>1847</v>
      </c>
      <c r="D295" s="449"/>
      <c r="E295" s="449"/>
      <c r="F295" s="221"/>
    </row>
    <row r="296" spans="1:7" ht="198">
      <c r="A296" s="77"/>
      <c r="B296" s="83"/>
      <c r="C296" s="449" t="s">
        <v>1848</v>
      </c>
      <c r="D296" s="449"/>
      <c r="E296" s="449"/>
      <c r="F296" s="221"/>
    </row>
    <row r="297" spans="1:7" ht="90">
      <c r="A297" s="77"/>
      <c r="B297" s="83">
        <f>'Detailed Estimate'!J3456</f>
        <v>337</v>
      </c>
      <c r="C297" s="449" t="s">
        <v>1849</v>
      </c>
      <c r="D297" s="449" t="s">
        <v>9</v>
      </c>
      <c r="E297" s="137">
        <f>Data!G1212</f>
        <v>3000</v>
      </c>
      <c r="F297" s="221">
        <f>IF((B297="Qro"),"-",B297*E297)</f>
        <v>1011000</v>
      </c>
    </row>
    <row r="298" spans="1:7">
      <c r="A298" s="77"/>
      <c r="B298" s="46"/>
      <c r="C298" s="81" t="s">
        <v>540</v>
      </c>
      <c r="D298" s="47"/>
      <c r="E298" s="48"/>
      <c r="F298" s="82">
        <f>SUM(F272:F297)</f>
        <v>2311318.8934666663</v>
      </c>
      <c r="G298" s="234"/>
    </row>
  </sheetData>
  <mergeCells count="2">
    <mergeCell ref="A1:F1"/>
    <mergeCell ref="A2:F2"/>
  </mergeCells>
  <phoneticPr fontId="5" type="noConversion"/>
  <conditionalFormatting sqref="C61">
    <cfRule type="colorScale" priority="7">
      <colorScale>
        <cfvo type="min" val="0"/>
        <cfvo type="max" val="0"/>
        <color theme="0"/>
        <color theme="0"/>
      </colorScale>
    </cfRule>
    <cfRule type="colorScale" priority="8">
      <colorScale>
        <cfvo type="min" val="0"/>
        <cfvo type="max" val="0"/>
        <color theme="0"/>
        <color theme="0"/>
      </colorScale>
    </cfRule>
    <cfRule type="colorScale" priority="9">
      <colorScale>
        <cfvo type="min" val="0"/>
        <cfvo type="max" val="0"/>
        <color theme="0"/>
        <color theme="0"/>
      </colorScale>
    </cfRule>
    <cfRule type="colorScale" priority="10">
      <colorScale>
        <cfvo type="min" val="0"/>
        <cfvo type="max" val="0"/>
        <color theme="0"/>
        <color theme="0"/>
      </colorScale>
    </cfRule>
  </conditionalFormatting>
  <conditionalFormatting sqref="C61">
    <cfRule type="colorScale" priority="6">
      <colorScale>
        <cfvo type="min" val="0"/>
        <cfvo type="max" val="0"/>
        <color theme="0"/>
        <color theme="0"/>
      </colorScale>
    </cfRule>
  </conditionalFormatting>
  <conditionalFormatting sqref="H78">
    <cfRule type="colorScale" priority="26">
      <colorScale>
        <cfvo type="min" val="0"/>
        <cfvo type="max" val="0"/>
        <color theme="0"/>
        <color theme="0"/>
      </colorScale>
    </cfRule>
    <cfRule type="colorScale" priority="27">
      <colorScale>
        <cfvo type="min" val="0"/>
        <cfvo type="max" val="0"/>
        <color theme="0"/>
        <color theme="0"/>
      </colorScale>
    </cfRule>
    <cfRule type="colorScale" priority="28">
      <colorScale>
        <cfvo type="min" val="0"/>
        <cfvo type="max" val="0"/>
        <color theme="0"/>
        <color theme="0"/>
      </colorScale>
    </cfRule>
    <cfRule type="colorScale" priority="29">
      <colorScale>
        <cfvo type="min" val="0"/>
        <cfvo type="max" val="0"/>
        <color theme="0"/>
        <color theme="0"/>
      </colorScale>
    </cfRule>
  </conditionalFormatting>
  <conditionalFormatting sqref="H78">
    <cfRule type="colorScale" priority="30">
      <colorScale>
        <cfvo type="min" val="0"/>
        <cfvo type="max" val="0"/>
        <color theme="0"/>
        <color theme="0"/>
      </colorScale>
    </cfRule>
  </conditionalFormatting>
  <printOptions horizontalCentered="1"/>
  <pageMargins left="0.59" right="0.39500000000000002" top="0.748" bottom="0.74803149606299202" header="0.315" footer="0.315"/>
  <pageSetup paperSize="9" scale="61" firstPageNumber="2" fitToWidth="0" fitToHeight="0" orientation="portrait" r:id="rId1"/>
  <headerFooter scaleWithDoc="0">
    <oddHeader>&amp;LProposed Working Women's Hostels for TNWWHSB at Tiruvannamalai.&amp;R&amp;A</oddHeader>
    <oddFooter>&amp;L&amp;"Verdana,Regular"&amp;10DIUS Design Consultants Pvt Ltd&amp;C&amp;"Verdana,Regular"&amp;10&amp;P of &amp;N&amp;RKnight Frank (India) Pvt Ltd</oddFooter>
  </headerFooter>
  <rowBreaks count="22" manualBreakCount="22">
    <brk id="15" max="5" man="1"/>
    <brk id="30" max="5" man="1"/>
    <brk id="45" max="5" man="1"/>
    <brk id="50" max="5" man="1"/>
    <brk id="59" max="5" man="1"/>
    <brk id="75" max="5" man="1"/>
    <brk id="102" max="5" man="1"/>
    <brk id="113" max="5" man="1"/>
    <brk id="134" max="5" man="1"/>
    <brk id="161" max="5" man="1"/>
    <brk id="167" max="5" man="1"/>
    <brk id="176" max="5" man="1"/>
    <brk id="182" max="5" man="1"/>
    <brk id="189" max="5" man="1"/>
    <brk id="232" max="5" man="1"/>
    <brk id="240" max="5" man="1"/>
    <brk id="246" max="5" man="1"/>
    <brk id="257" max="5" man="1"/>
    <brk id="268" max="5" man="1"/>
    <brk id="273" max="5" man="1"/>
    <brk id="280" max="5" man="1"/>
    <brk id="289" max="5" man="1"/>
  </rowBreaks>
  <ignoredErrors>
    <ignoredError sqref="A21" evalError="1"/>
    <ignoredError sqref="E10" formula="1"/>
  </ignoredErrors>
  <drawing r:id="rId2"/>
</worksheet>
</file>

<file path=xl/worksheets/sheet3.xml><?xml version="1.0" encoding="utf-8"?>
<worksheet xmlns="http://schemas.openxmlformats.org/spreadsheetml/2006/main" xmlns:r="http://schemas.openxmlformats.org/officeDocument/2006/relationships">
  <dimension ref="A1:O3456"/>
  <sheetViews>
    <sheetView view="pageBreakPreview" zoomScale="85" zoomScaleNormal="70" zoomScaleSheetLayoutView="85" workbookViewId="0">
      <pane ySplit="3" topLeftCell="A2103" activePane="bottomLeft" state="frozen"/>
      <selection activeCell="E40" sqref="E40"/>
      <selection pane="bottomLeft" activeCell="E40" sqref="E40"/>
    </sheetView>
  </sheetViews>
  <sheetFormatPr defaultColWidth="8.85546875" defaultRowHeight="18"/>
  <cols>
    <col min="1" max="1" width="9.7109375" style="686" bestFit="1" customWidth="1"/>
    <col min="2" max="2" width="39.42578125" style="629" customWidth="1"/>
    <col min="3" max="3" width="17.140625" style="582" customWidth="1"/>
    <col min="4" max="4" width="5.7109375" style="578" bestFit="1" customWidth="1"/>
    <col min="5" max="5" width="2.85546875" style="579" bestFit="1" customWidth="1"/>
    <col min="6" max="6" width="6" style="569" bestFit="1" customWidth="1"/>
    <col min="7" max="7" width="14.7109375" style="582" bestFit="1" customWidth="1"/>
    <col min="8" max="8" width="13.85546875" style="582" bestFit="1" customWidth="1"/>
    <col min="9" max="9" width="11.140625" style="582" customWidth="1"/>
    <col min="10" max="10" width="17.85546875" style="582" bestFit="1" customWidth="1"/>
    <col min="11" max="11" width="14.85546875" style="582" bestFit="1" customWidth="1"/>
    <col min="12" max="12" width="8.85546875" style="582"/>
    <col min="13" max="13" width="12.5703125" style="582" bestFit="1" customWidth="1"/>
    <col min="14" max="15" width="8.85546875" style="582"/>
    <col min="16" max="16" width="9.85546875" style="582" bestFit="1" customWidth="1"/>
    <col min="17" max="16384" width="8.85546875" style="582"/>
  </cols>
  <sheetData>
    <row r="1" spans="1:11" s="570" customFormat="1" ht="64.150000000000006" customHeight="1">
      <c r="A1" s="741" t="str">
        <f>Summary!A1</f>
        <v>Estimate for construction of Proposed Working Women's Hostels at Tiruvannamalai.</v>
      </c>
      <c r="B1" s="741"/>
      <c r="C1" s="741"/>
      <c r="D1" s="741"/>
      <c r="E1" s="741"/>
      <c r="F1" s="741"/>
      <c r="G1" s="741"/>
      <c r="H1" s="741"/>
      <c r="I1" s="741"/>
      <c r="J1" s="741"/>
      <c r="K1" s="741"/>
    </row>
    <row r="2" spans="1:11" s="570" customFormat="1" ht="30.6" customHeight="1">
      <c r="A2" s="742" t="s">
        <v>576</v>
      </c>
      <c r="B2" s="742"/>
      <c r="C2" s="742"/>
      <c r="D2" s="742"/>
      <c r="E2" s="742"/>
      <c r="F2" s="742"/>
      <c r="G2" s="742"/>
      <c r="H2" s="742"/>
      <c r="I2" s="742"/>
      <c r="J2" s="742"/>
      <c r="K2" s="742"/>
    </row>
    <row r="3" spans="1:11" s="575" customFormat="1" ht="25.15" customHeight="1">
      <c r="A3" s="571" t="s">
        <v>0</v>
      </c>
      <c r="B3" s="572" t="s">
        <v>1</v>
      </c>
      <c r="C3" s="573" t="s">
        <v>11</v>
      </c>
      <c r="D3" s="743" t="s">
        <v>2</v>
      </c>
      <c r="E3" s="744"/>
      <c r="F3" s="745"/>
      <c r="G3" s="574" t="s">
        <v>3</v>
      </c>
      <c r="H3" s="571" t="s">
        <v>4</v>
      </c>
      <c r="I3" s="571" t="s">
        <v>5</v>
      </c>
      <c r="J3" s="571" t="s">
        <v>6</v>
      </c>
      <c r="K3" s="571" t="s">
        <v>7</v>
      </c>
    </row>
    <row r="4" spans="1:11">
      <c r="A4" s="568"/>
      <c r="B4" s="576" t="str">
        <f>'BOQ-C&amp;I'!C4</f>
        <v>Earthwork Excavation &amp; Backfilling</v>
      </c>
      <c r="C4" s="577"/>
      <c r="G4" s="580"/>
      <c r="H4" s="581"/>
      <c r="I4" s="581"/>
      <c r="J4" s="581"/>
      <c r="K4" s="581"/>
    </row>
    <row r="5" spans="1:11" s="575" customFormat="1" ht="113.45" customHeight="1">
      <c r="A5" s="583">
        <f>1</f>
        <v>1</v>
      </c>
      <c r="B5" s="723" t="str">
        <f>'BOQ-C&amp;I'!C5</f>
        <v>Earth work excavation / open excavation for foundation in all type of soils and sub soils to the required depth as directed including dense soil, disintegrated/weathered/soft rock not requiring blasting for Footings, Pile caps, Lift pits, etc... by mechanical means including manual excavation for levelling, dressing of sides and ramming of bottom with all leads and lifts, shoring, strutting and baling out water wherever necessary etc., as complete with all respects complying with relevant standard specification and as directed by the departmental officers.</v>
      </c>
      <c r="C5" s="723"/>
      <c r="D5" s="723"/>
      <c r="E5" s="723"/>
      <c r="F5" s="723"/>
      <c r="G5" s="723"/>
      <c r="H5" s="723"/>
      <c r="I5" s="723"/>
      <c r="J5" s="723"/>
      <c r="K5" s="723"/>
    </row>
    <row r="6" spans="1:11" s="575" customFormat="1" ht="193.9" customHeight="1">
      <c r="A6" s="583"/>
      <c r="B6" s="723" t="str">
        <f>'BOQ-C&amp;I'!C6</f>
        <v>Rate to include backfilling, levelling, dressing of sides and ramming of bottom with all leads, lifts and filling  inside the building plinth level including necessary compaction in layers of 150mm thick each complete as directed and dressing to proper level and graded as required etc, loading, unloading, plant and machinery, hire and fuel charges for tools and plants, shoring, strutting required to keep the earth in position and baling out water, dewatering of all ground, surface and rain water, removal of slurry generated while excavation and keeping the area free from water, removal of loose pockets, slips and falls during excavation and compacting the same, Slinging or supporting pipes, electric cables, royalties, Seignorage and taking statutory approvals as necessary to carry out the work as complete with all respects complying with relevant standard specification, as directed by the departmental officers.</v>
      </c>
      <c r="C6" s="723"/>
      <c r="D6" s="723"/>
      <c r="E6" s="723"/>
      <c r="F6" s="723"/>
      <c r="G6" s="723"/>
      <c r="H6" s="723"/>
      <c r="I6" s="723"/>
      <c r="J6" s="723"/>
      <c r="K6" s="723"/>
    </row>
    <row r="7" spans="1:11" s="575" customFormat="1" ht="186" customHeight="1">
      <c r="A7" s="583"/>
      <c r="B7" s="723" t="str">
        <f>'BOQ-C&amp;I'!C7</f>
        <v xml:space="preserve">Note: Rate to include for extra earthwork including authorized working space as per IS 1200 and provision of slopes, space for scaffolding, shuttering, shoring, strutting etc., Additional excavation if required for execution shall not be paid separately.  The contractor shall keep the foundations dewatered and also arrange to drain them off by suitable drains and other means and keep the work place free from flooding / water logging and fit for carrying on the work unhindered. The contractor shall give a methodology of shoring, methodology of execution of excavation work and methodology for dewatering  for the approval of  departmental officers. (Only the PCC outer to outer dimension will be consider for the area of excavation and depth as per the actual ie depth till the bottom of M.Sand filling below the PCC as per drawing) </v>
      </c>
      <c r="C7" s="723"/>
      <c r="D7" s="723"/>
      <c r="E7" s="723"/>
      <c r="F7" s="723"/>
      <c r="G7" s="723"/>
      <c r="H7" s="723"/>
      <c r="I7" s="723"/>
      <c r="J7" s="723"/>
      <c r="K7" s="723"/>
    </row>
    <row r="8" spans="1:11" s="575" customFormat="1">
      <c r="A8" s="583"/>
      <c r="B8" s="584" t="str">
        <f>'BOQ-C&amp;I'!C8</f>
        <v>0 to 2m depth.</v>
      </c>
      <c r="C8" s="585"/>
      <c r="D8" s="585"/>
      <c r="E8" s="586"/>
      <c r="F8" s="587"/>
      <c r="G8" s="587"/>
      <c r="H8" s="588"/>
      <c r="I8" s="588"/>
      <c r="J8" s="588"/>
      <c r="K8" s="588"/>
    </row>
    <row r="9" spans="1:11">
      <c r="A9" s="568" t="s">
        <v>71</v>
      </c>
      <c r="B9" s="584" t="str">
        <f>'BOQ-C&amp;I'!C9</f>
        <v xml:space="preserve">Building </v>
      </c>
      <c r="C9" s="589"/>
      <c r="G9" s="590"/>
      <c r="H9" s="591"/>
      <c r="I9" s="591"/>
      <c r="J9" s="591"/>
      <c r="K9" s="592"/>
    </row>
    <row r="10" spans="1:11">
      <c r="A10" s="568"/>
      <c r="B10" s="593" t="s">
        <v>648</v>
      </c>
      <c r="C10" s="589"/>
      <c r="G10" s="590"/>
      <c r="H10" s="591"/>
      <c r="I10" s="591"/>
      <c r="J10" s="591"/>
      <c r="K10" s="592"/>
    </row>
    <row r="11" spans="1:11">
      <c r="A11" s="568"/>
      <c r="B11" s="593" t="s">
        <v>649</v>
      </c>
      <c r="C11" s="589"/>
      <c r="D11" s="578">
        <v>1</v>
      </c>
      <c r="E11" s="579" t="s">
        <v>8</v>
      </c>
      <c r="F11" s="569">
        <v>5</v>
      </c>
      <c r="G11" s="594">
        <f>3.3+0.2</f>
        <v>3.5</v>
      </c>
      <c r="H11" s="595">
        <f>2.3+0.2</f>
        <v>2.5</v>
      </c>
      <c r="I11" s="596">
        <v>2</v>
      </c>
      <c r="J11" s="597">
        <f>PRODUCT(D11:I11)</f>
        <v>87.5</v>
      </c>
      <c r="K11" s="592"/>
    </row>
    <row r="12" spans="1:11">
      <c r="A12" s="568"/>
      <c r="B12" s="593" t="s">
        <v>650</v>
      </c>
      <c r="C12" s="589"/>
      <c r="D12" s="578">
        <v>1</v>
      </c>
      <c r="E12" s="579" t="s">
        <v>8</v>
      </c>
      <c r="F12" s="569">
        <v>2</v>
      </c>
      <c r="G12" s="594">
        <f>2.55+0.2</f>
        <v>2.75</v>
      </c>
      <c r="H12" s="594">
        <f>2.55+0.2</f>
        <v>2.75</v>
      </c>
      <c r="I12" s="596">
        <v>2</v>
      </c>
      <c r="J12" s="597">
        <f t="shared" ref="J12:J36" si="0">PRODUCT(D12:I12)</f>
        <v>30.25</v>
      </c>
      <c r="K12" s="592"/>
    </row>
    <row r="13" spans="1:11">
      <c r="A13" s="568"/>
      <c r="B13" s="593" t="s">
        <v>651</v>
      </c>
      <c r="C13" s="589"/>
      <c r="D13" s="578">
        <v>1</v>
      </c>
      <c r="E13" s="579" t="s">
        <v>8</v>
      </c>
      <c r="F13" s="569">
        <v>7</v>
      </c>
      <c r="G13" s="598">
        <f>2.8+0.2</f>
        <v>3</v>
      </c>
      <c r="H13" s="598">
        <f>2.1+0.2</f>
        <v>2.3000000000000003</v>
      </c>
      <c r="I13" s="596">
        <v>2</v>
      </c>
      <c r="J13" s="597">
        <f t="shared" si="0"/>
        <v>96.600000000000009</v>
      </c>
      <c r="K13" s="592"/>
    </row>
    <row r="14" spans="1:11">
      <c r="A14" s="568"/>
      <c r="B14" s="593" t="s">
        <v>652</v>
      </c>
      <c r="C14" s="589"/>
      <c r="D14" s="578">
        <v>1</v>
      </c>
      <c r="E14" s="579" t="s">
        <v>8</v>
      </c>
      <c r="F14" s="569">
        <v>1</v>
      </c>
      <c r="G14" s="594">
        <f>3.2+0.2</f>
        <v>3.4000000000000004</v>
      </c>
      <c r="H14" s="594">
        <f>2.5+0.2</f>
        <v>2.7</v>
      </c>
      <c r="I14" s="596">
        <v>2</v>
      </c>
      <c r="J14" s="597">
        <f t="shared" si="0"/>
        <v>18.360000000000003</v>
      </c>
      <c r="K14" s="592"/>
    </row>
    <row r="15" spans="1:11">
      <c r="A15" s="568"/>
      <c r="B15" s="593" t="s">
        <v>653</v>
      </c>
      <c r="C15" s="589"/>
      <c r="D15" s="578">
        <v>1</v>
      </c>
      <c r="E15" s="579" t="s">
        <v>8</v>
      </c>
      <c r="F15" s="569">
        <v>1</v>
      </c>
      <c r="G15" s="594">
        <f>2.5+0.2</f>
        <v>2.7</v>
      </c>
      <c r="H15" s="594">
        <f>2.5+0.2</f>
        <v>2.7</v>
      </c>
      <c r="I15" s="596">
        <v>2</v>
      </c>
      <c r="J15" s="597">
        <f t="shared" si="0"/>
        <v>14.580000000000002</v>
      </c>
      <c r="K15" s="592"/>
    </row>
    <row r="16" spans="1:11">
      <c r="A16" s="568"/>
      <c r="B16" s="593" t="s">
        <v>654</v>
      </c>
      <c r="C16" s="589"/>
      <c r="D16" s="578">
        <v>1</v>
      </c>
      <c r="E16" s="579" t="s">
        <v>8</v>
      </c>
      <c r="F16" s="569">
        <v>2</v>
      </c>
      <c r="G16" s="594">
        <f>1.85+0.2</f>
        <v>2.0500000000000003</v>
      </c>
      <c r="H16" s="594">
        <f>1.45+0.2</f>
        <v>1.65</v>
      </c>
      <c r="I16" s="596">
        <v>2</v>
      </c>
      <c r="J16" s="597">
        <f t="shared" si="0"/>
        <v>13.530000000000001</v>
      </c>
      <c r="K16" s="592"/>
    </row>
    <row r="17" spans="1:11">
      <c r="A17" s="568"/>
      <c r="B17" s="593" t="s">
        <v>655</v>
      </c>
      <c r="C17" s="589"/>
      <c r="D17" s="578">
        <v>1</v>
      </c>
      <c r="E17" s="579" t="s">
        <v>8</v>
      </c>
      <c r="F17" s="569">
        <v>1</v>
      </c>
      <c r="G17" s="594">
        <f>3.2+0.2</f>
        <v>3.4000000000000004</v>
      </c>
      <c r="H17" s="594">
        <f>2.6+0.2</f>
        <v>2.8000000000000003</v>
      </c>
      <c r="I17" s="596">
        <v>2</v>
      </c>
      <c r="J17" s="597">
        <f t="shared" si="0"/>
        <v>19.040000000000003</v>
      </c>
      <c r="K17" s="592"/>
    </row>
    <row r="18" spans="1:11">
      <c r="A18" s="568"/>
      <c r="B18" s="593" t="s">
        <v>1006</v>
      </c>
      <c r="C18" s="589"/>
      <c r="D18" s="578">
        <v>1</v>
      </c>
      <c r="E18" s="579" t="s">
        <v>8</v>
      </c>
      <c r="F18" s="569">
        <v>2</v>
      </c>
      <c r="G18" s="594">
        <f>2.5+0.2</f>
        <v>2.7</v>
      </c>
      <c r="H18" s="594">
        <f>1.9+0.2</f>
        <v>2.1</v>
      </c>
      <c r="I18" s="596">
        <v>2</v>
      </c>
      <c r="J18" s="597">
        <f t="shared" si="0"/>
        <v>22.680000000000003</v>
      </c>
      <c r="K18" s="592"/>
    </row>
    <row r="19" spans="1:11">
      <c r="A19" s="568"/>
      <c r="B19" s="593" t="s">
        <v>1007</v>
      </c>
      <c r="C19" s="589"/>
      <c r="D19" s="578">
        <v>1</v>
      </c>
      <c r="E19" s="579" t="s">
        <v>8</v>
      </c>
      <c r="F19" s="569">
        <v>1</v>
      </c>
      <c r="G19" s="594">
        <f>2.5+0.2</f>
        <v>2.7</v>
      </c>
      <c r="H19" s="594">
        <f>2.65+0.2</f>
        <v>2.85</v>
      </c>
      <c r="I19" s="596">
        <v>2</v>
      </c>
      <c r="J19" s="597">
        <f t="shared" si="0"/>
        <v>15.390000000000002</v>
      </c>
      <c r="K19" s="592"/>
    </row>
    <row r="20" spans="1:11">
      <c r="A20" s="568"/>
      <c r="B20" s="593" t="s">
        <v>1008</v>
      </c>
      <c r="C20" s="589"/>
      <c r="D20" s="578">
        <v>1</v>
      </c>
      <c r="E20" s="579" t="s">
        <v>8</v>
      </c>
      <c r="F20" s="569">
        <v>1</v>
      </c>
      <c r="G20" s="594">
        <f>2.5+0.2</f>
        <v>2.7</v>
      </c>
      <c r="H20" s="594">
        <f>1.4+0.2</f>
        <v>1.5999999999999999</v>
      </c>
      <c r="I20" s="596">
        <v>2</v>
      </c>
      <c r="J20" s="597">
        <f t="shared" si="0"/>
        <v>8.64</v>
      </c>
      <c r="K20" s="592"/>
    </row>
    <row r="21" spans="1:11">
      <c r="A21" s="568"/>
      <c r="B21" s="593" t="s">
        <v>1009</v>
      </c>
      <c r="C21" s="589"/>
      <c r="D21" s="578">
        <v>1</v>
      </c>
      <c r="E21" s="579" t="s">
        <v>8</v>
      </c>
      <c r="F21" s="569">
        <v>6</v>
      </c>
      <c r="G21" s="594">
        <f>1.5+0.2</f>
        <v>1.7</v>
      </c>
      <c r="H21" s="594">
        <f>1.2+0.2</f>
        <v>1.4</v>
      </c>
      <c r="I21" s="596">
        <v>2</v>
      </c>
      <c r="J21" s="597">
        <f t="shared" si="0"/>
        <v>28.559999999999995</v>
      </c>
      <c r="K21" s="592"/>
    </row>
    <row r="22" spans="1:11">
      <c r="A22" s="568"/>
      <c r="B22" s="593" t="s">
        <v>1010</v>
      </c>
      <c r="C22" s="589"/>
      <c r="D22" s="578">
        <v>1</v>
      </c>
      <c r="E22" s="579" t="s">
        <v>8</v>
      </c>
      <c r="F22" s="569">
        <v>1</v>
      </c>
      <c r="G22" s="594">
        <f>2.9+0.2</f>
        <v>3.1</v>
      </c>
      <c r="H22" s="594">
        <f>2.7+0.2</f>
        <v>2.9000000000000004</v>
      </c>
      <c r="I22" s="596">
        <v>2</v>
      </c>
      <c r="J22" s="597">
        <f t="shared" si="0"/>
        <v>17.980000000000004</v>
      </c>
      <c r="K22" s="592"/>
    </row>
    <row r="23" spans="1:11">
      <c r="A23" s="568"/>
      <c r="B23" s="593" t="s">
        <v>1011</v>
      </c>
      <c r="C23" s="589"/>
      <c r="D23" s="578">
        <v>1</v>
      </c>
      <c r="E23" s="579" t="s">
        <v>8</v>
      </c>
      <c r="F23" s="569">
        <v>2</v>
      </c>
      <c r="G23" s="594">
        <f>2.2+0.2</f>
        <v>2.4000000000000004</v>
      </c>
      <c r="H23" s="594">
        <f>1.65+0.2</f>
        <v>1.8499999999999999</v>
      </c>
      <c r="I23" s="596">
        <v>2</v>
      </c>
      <c r="J23" s="597">
        <f t="shared" si="0"/>
        <v>17.760000000000002</v>
      </c>
      <c r="K23" s="592"/>
    </row>
    <row r="24" spans="1:11">
      <c r="A24" s="568"/>
      <c r="B24" s="593" t="s">
        <v>1012</v>
      </c>
      <c r="C24" s="589"/>
      <c r="D24" s="578">
        <v>1</v>
      </c>
      <c r="E24" s="579" t="s">
        <v>8</v>
      </c>
      <c r="F24" s="569">
        <v>2</v>
      </c>
      <c r="G24" s="594">
        <f>2.15+0.2</f>
        <v>2.35</v>
      </c>
      <c r="H24" s="594">
        <f>2.15+0.2</f>
        <v>2.35</v>
      </c>
      <c r="I24" s="596">
        <v>2</v>
      </c>
      <c r="J24" s="597">
        <f t="shared" si="0"/>
        <v>22.090000000000003</v>
      </c>
      <c r="K24" s="592"/>
    </row>
    <row r="25" spans="1:11">
      <c r="A25" s="568"/>
      <c r="B25" s="593" t="s">
        <v>1013</v>
      </c>
      <c r="C25" s="589"/>
      <c r="D25" s="578">
        <v>1</v>
      </c>
      <c r="E25" s="579" t="s">
        <v>8</v>
      </c>
      <c r="F25" s="569">
        <v>2</v>
      </c>
      <c r="G25" s="594">
        <f>1.75+0.2</f>
        <v>1.95</v>
      </c>
      <c r="H25" s="594">
        <f>1.55+0.2</f>
        <v>1.75</v>
      </c>
      <c r="I25" s="596">
        <v>2</v>
      </c>
      <c r="J25" s="597">
        <f t="shared" si="0"/>
        <v>13.65</v>
      </c>
      <c r="K25" s="592"/>
    </row>
    <row r="26" spans="1:11">
      <c r="A26" s="568"/>
      <c r="B26" s="593" t="s">
        <v>1014</v>
      </c>
      <c r="C26" s="589"/>
      <c r="D26" s="578">
        <v>1</v>
      </c>
      <c r="E26" s="579" t="s">
        <v>8</v>
      </c>
      <c r="F26" s="569">
        <v>2</v>
      </c>
      <c r="G26" s="594">
        <f>2.35+0.2</f>
        <v>2.5500000000000003</v>
      </c>
      <c r="H26" s="594">
        <f>2.35+0.2</f>
        <v>2.5500000000000003</v>
      </c>
      <c r="I26" s="596">
        <v>2</v>
      </c>
      <c r="J26" s="597">
        <f t="shared" si="0"/>
        <v>26.010000000000005</v>
      </c>
      <c r="K26" s="592"/>
    </row>
    <row r="27" spans="1:11">
      <c r="A27" s="568"/>
      <c r="B27" s="593" t="s">
        <v>1015</v>
      </c>
      <c r="C27" s="589"/>
      <c r="D27" s="578">
        <v>1</v>
      </c>
      <c r="E27" s="579" t="s">
        <v>8</v>
      </c>
      <c r="F27" s="569">
        <v>1</v>
      </c>
      <c r="G27" s="594">
        <f>3+0.2</f>
        <v>3.2</v>
      </c>
      <c r="H27" s="594">
        <f>2.5+0.2</f>
        <v>2.7</v>
      </c>
      <c r="I27" s="596">
        <v>2</v>
      </c>
      <c r="J27" s="597">
        <f t="shared" si="0"/>
        <v>17.28</v>
      </c>
      <c r="K27" s="592"/>
    </row>
    <row r="28" spans="1:11">
      <c r="A28" s="568"/>
      <c r="B28" s="593" t="s">
        <v>1016</v>
      </c>
      <c r="C28" s="589"/>
      <c r="D28" s="578">
        <v>1</v>
      </c>
      <c r="E28" s="579" t="s">
        <v>8</v>
      </c>
      <c r="F28" s="569">
        <v>4</v>
      </c>
      <c r="G28" s="594">
        <f>1+0.2</f>
        <v>1.2</v>
      </c>
      <c r="H28" s="594">
        <f>1+0.2</f>
        <v>1.2</v>
      </c>
      <c r="I28" s="596">
        <v>2</v>
      </c>
      <c r="J28" s="597">
        <f t="shared" si="0"/>
        <v>11.52</v>
      </c>
      <c r="K28" s="592"/>
    </row>
    <row r="29" spans="1:11">
      <c r="A29" s="568"/>
      <c r="B29" s="593" t="s">
        <v>656</v>
      </c>
      <c r="C29" s="589"/>
      <c r="D29" s="578">
        <v>1</v>
      </c>
      <c r="E29" s="579" t="s">
        <v>8</v>
      </c>
      <c r="F29" s="569">
        <v>1</v>
      </c>
      <c r="G29" s="598">
        <f>5+0.2</f>
        <v>5.2</v>
      </c>
      <c r="H29" s="598">
        <f>1.75+0.2</f>
        <v>1.95</v>
      </c>
      <c r="I29" s="596">
        <v>2</v>
      </c>
      <c r="J29" s="597">
        <f t="shared" si="0"/>
        <v>20.28</v>
      </c>
      <c r="K29" s="592"/>
    </row>
    <row r="30" spans="1:11">
      <c r="A30" s="568"/>
      <c r="B30" s="593" t="s">
        <v>657</v>
      </c>
      <c r="C30" s="589"/>
      <c r="D30" s="578">
        <v>1</v>
      </c>
      <c r="E30" s="579" t="s">
        <v>8</v>
      </c>
      <c r="F30" s="569">
        <v>1</v>
      </c>
      <c r="G30" s="594">
        <f>4.9+0.2</f>
        <v>5.1000000000000005</v>
      </c>
      <c r="H30" s="594">
        <f>2.9+0.2</f>
        <v>3.1</v>
      </c>
      <c r="I30" s="596">
        <v>2</v>
      </c>
      <c r="J30" s="597">
        <f t="shared" si="0"/>
        <v>31.620000000000005</v>
      </c>
      <c r="K30" s="592"/>
    </row>
    <row r="31" spans="1:11">
      <c r="A31" s="568"/>
      <c r="B31" s="593" t="s">
        <v>658</v>
      </c>
      <c r="C31" s="589"/>
      <c r="D31" s="578">
        <v>1</v>
      </c>
      <c r="E31" s="579" t="s">
        <v>8</v>
      </c>
      <c r="F31" s="569">
        <v>1</v>
      </c>
      <c r="G31" s="594">
        <f>7.65+0.2</f>
        <v>7.8500000000000005</v>
      </c>
      <c r="H31" s="594">
        <f>3.3+0.2</f>
        <v>3.5</v>
      </c>
      <c r="I31" s="596">
        <v>2</v>
      </c>
      <c r="J31" s="597">
        <f t="shared" si="0"/>
        <v>54.95</v>
      </c>
      <c r="K31" s="592"/>
    </row>
    <row r="32" spans="1:11">
      <c r="A32" s="568"/>
      <c r="B32" s="593" t="s">
        <v>1017</v>
      </c>
      <c r="C32" s="589"/>
      <c r="D32" s="578">
        <v>1</v>
      </c>
      <c r="E32" s="579" t="s">
        <v>8</v>
      </c>
      <c r="F32" s="569">
        <v>1</v>
      </c>
      <c r="G32" s="594">
        <f>5.5+0.2</f>
        <v>5.7</v>
      </c>
      <c r="H32" s="594">
        <f>2.8+0.2</f>
        <v>3</v>
      </c>
      <c r="I32" s="596">
        <v>2</v>
      </c>
      <c r="J32" s="597">
        <f t="shared" si="0"/>
        <v>34.200000000000003</v>
      </c>
      <c r="K32" s="592"/>
    </row>
    <row r="33" spans="1:11">
      <c r="A33" s="568"/>
      <c r="B33" s="593" t="s">
        <v>1018</v>
      </c>
      <c r="C33" s="589"/>
      <c r="D33" s="578">
        <v>1</v>
      </c>
      <c r="E33" s="579" t="s">
        <v>8</v>
      </c>
      <c r="F33" s="569">
        <v>1</v>
      </c>
      <c r="G33" s="594">
        <f>5.85+0.2</f>
        <v>6.05</v>
      </c>
      <c r="H33" s="594">
        <f>2.45+0.2</f>
        <v>2.6500000000000004</v>
      </c>
      <c r="I33" s="596">
        <v>2</v>
      </c>
      <c r="J33" s="597">
        <f t="shared" si="0"/>
        <v>32.065000000000005</v>
      </c>
      <c r="K33" s="592"/>
    </row>
    <row r="34" spans="1:11">
      <c r="A34" s="568"/>
      <c r="B34" s="581" t="s">
        <v>1019</v>
      </c>
      <c r="C34" s="581"/>
      <c r="D34" s="578">
        <v>1</v>
      </c>
      <c r="E34" s="579" t="s">
        <v>8</v>
      </c>
      <c r="F34" s="569">
        <v>1</v>
      </c>
      <c r="G34" s="594">
        <f>5.8+0.2</f>
        <v>6</v>
      </c>
      <c r="H34" s="594">
        <f>5.7+0.2</f>
        <v>5.9</v>
      </c>
      <c r="I34" s="596">
        <v>2</v>
      </c>
      <c r="J34" s="597">
        <f t="shared" si="0"/>
        <v>70.800000000000011</v>
      </c>
      <c r="K34" s="592"/>
    </row>
    <row r="35" spans="1:11">
      <c r="A35" s="568"/>
      <c r="B35" s="581" t="s">
        <v>1020</v>
      </c>
      <c r="C35" s="581"/>
      <c r="D35" s="578">
        <v>1</v>
      </c>
      <c r="E35" s="579" t="s">
        <v>8</v>
      </c>
      <c r="F35" s="569">
        <v>1</v>
      </c>
      <c r="G35" s="717">
        <f>30398772/1000000</f>
        <v>30.398772000000001</v>
      </c>
      <c r="H35" s="718"/>
      <c r="I35" s="596">
        <v>2</v>
      </c>
      <c r="J35" s="597">
        <f t="shared" si="0"/>
        <v>60.797544000000002</v>
      </c>
      <c r="K35" s="592"/>
    </row>
    <row r="36" spans="1:11">
      <c r="A36" s="568"/>
      <c r="B36" s="581" t="s">
        <v>1021</v>
      </c>
      <c r="C36" s="581"/>
      <c r="D36" s="578">
        <v>1</v>
      </c>
      <c r="E36" s="579" t="s">
        <v>8</v>
      </c>
      <c r="F36" s="569">
        <v>1</v>
      </c>
      <c r="G36" s="581">
        <f>5.025+0.2</f>
        <v>5.2250000000000005</v>
      </c>
      <c r="H36" s="581">
        <f>4.125+0.2</f>
        <v>4.3250000000000002</v>
      </c>
      <c r="I36" s="596">
        <v>2</v>
      </c>
      <c r="J36" s="597">
        <f t="shared" si="0"/>
        <v>45.196250000000006</v>
      </c>
      <c r="K36" s="592"/>
    </row>
    <row r="37" spans="1:11">
      <c r="A37" s="568"/>
      <c r="B37" s="584" t="s">
        <v>1421</v>
      </c>
      <c r="C37" s="599"/>
      <c r="G37" s="600"/>
      <c r="H37" s="600"/>
      <c r="I37" s="600"/>
      <c r="J37" s="597"/>
      <c r="K37" s="568"/>
    </row>
    <row r="38" spans="1:11">
      <c r="A38" s="568"/>
      <c r="B38" s="593" t="s">
        <v>650</v>
      </c>
      <c r="C38" s="599"/>
      <c r="D38" s="578">
        <v>1</v>
      </c>
      <c r="E38" s="579" t="s">
        <v>8</v>
      </c>
      <c r="F38" s="569">
        <v>2</v>
      </c>
      <c r="G38" s="600">
        <v>1.7</v>
      </c>
      <c r="H38" s="600">
        <v>1.7</v>
      </c>
      <c r="I38" s="600">
        <v>1.7</v>
      </c>
      <c r="J38" s="597">
        <f t="shared" ref="J38:J40" si="1">PRODUCT(D38:I38)</f>
        <v>9.8259999999999987</v>
      </c>
      <c r="K38" s="568"/>
    </row>
    <row r="39" spans="1:11">
      <c r="A39" s="568"/>
      <c r="B39" s="593" t="s">
        <v>652</v>
      </c>
      <c r="C39" s="599"/>
      <c r="D39" s="578">
        <v>1</v>
      </c>
      <c r="E39" s="579" t="s">
        <v>8</v>
      </c>
      <c r="F39" s="569">
        <v>1</v>
      </c>
      <c r="G39" s="600">
        <v>1.4</v>
      </c>
      <c r="H39" s="600">
        <v>1.4</v>
      </c>
      <c r="I39" s="600">
        <v>1.7</v>
      </c>
      <c r="J39" s="597">
        <f t="shared" si="1"/>
        <v>3.3319999999999994</v>
      </c>
      <c r="K39" s="568"/>
    </row>
    <row r="40" spans="1:11">
      <c r="A40" s="568"/>
      <c r="B40" s="593" t="s">
        <v>653</v>
      </c>
      <c r="C40" s="599"/>
      <c r="D40" s="578">
        <v>1</v>
      </c>
      <c r="E40" s="579" t="s">
        <v>8</v>
      </c>
      <c r="F40" s="569">
        <v>2</v>
      </c>
      <c r="G40" s="600">
        <v>2</v>
      </c>
      <c r="H40" s="600">
        <v>2.7</v>
      </c>
      <c r="I40" s="600">
        <v>1.7</v>
      </c>
      <c r="J40" s="597">
        <f t="shared" si="1"/>
        <v>18.36</v>
      </c>
      <c r="K40" s="568"/>
    </row>
    <row r="41" spans="1:11">
      <c r="A41" s="568" t="s">
        <v>70</v>
      </c>
      <c r="B41" s="584" t="s">
        <v>482</v>
      </c>
      <c r="C41" s="589"/>
      <c r="G41" s="590"/>
      <c r="H41" s="591"/>
      <c r="I41" s="591"/>
      <c r="J41" s="591"/>
      <c r="K41" s="592"/>
    </row>
    <row r="42" spans="1:11">
      <c r="A42" s="568"/>
      <c r="B42" s="584" t="s">
        <v>50</v>
      </c>
      <c r="C42" s="589"/>
      <c r="G42" s="590"/>
      <c r="H42" s="591"/>
      <c r="I42" s="591"/>
      <c r="J42" s="591"/>
      <c r="K42" s="592"/>
    </row>
    <row r="43" spans="1:11" ht="18" customHeight="1">
      <c r="A43" s="568"/>
      <c r="B43" s="601" t="s">
        <v>571</v>
      </c>
      <c r="C43" s="593" t="s">
        <v>1022</v>
      </c>
      <c r="D43" s="578">
        <v>1</v>
      </c>
      <c r="E43" s="579" t="s">
        <v>8</v>
      </c>
      <c r="F43" s="569">
        <v>1</v>
      </c>
      <c r="G43" s="590">
        <v>27.8</v>
      </c>
      <c r="H43" s="591">
        <f>0.2+0.1+0.1</f>
        <v>0.4</v>
      </c>
      <c r="I43" s="591">
        <v>0.45</v>
      </c>
      <c r="J43" s="591">
        <f>PRODUCT(D43:I43)</f>
        <v>5.0040000000000004</v>
      </c>
      <c r="K43" s="568"/>
    </row>
    <row r="44" spans="1:11" ht="18" customHeight="1">
      <c r="A44" s="568"/>
      <c r="B44" s="601" t="s">
        <v>571</v>
      </c>
      <c r="C44" s="593" t="s">
        <v>1022</v>
      </c>
      <c r="D44" s="578">
        <v>1</v>
      </c>
      <c r="E44" s="579" t="s">
        <v>8</v>
      </c>
      <c r="F44" s="569">
        <v>1</v>
      </c>
      <c r="G44" s="590">
        <v>5.375</v>
      </c>
      <c r="H44" s="591">
        <f t="shared" ref="H44:H80" si="2">0.2+0.1+0.1</f>
        <v>0.4</v>
      </c>
      <c r="I44" s="591">
        <v>0.6</v>
      </c>
      <c r="J44" s="591">
        <f t="shared" ref="J44:J71" si="3">PRODUCT(D44:I44)</f>
        <v>1.2899999999999998</v>
      </c>
      <c r="K44" s="568"/>
    </row>
    <row r="45" spans="1:11" ht="18" customHeight="1">
      <c r="A45" s="568"/>
      <c r="B45" s="601" t="s">
        <v>570</v>
      </c>
      <c r="C45" s="593" t="s">
        <v>1023</v>
      </c>
      <c r="D45" s="578">
        <v>1</v>
      </c>
      <c r="E45" s="579" t="s">
        <v>8</v>
      </c>
      <c r="F45" s="569">
        <v>1</v>
      </c>
      <c r="G45" s="590">
        <v>7.5</v>
      </c>
      <c r="H45" s="591">
        <f t="shared" si="2"/>
        <v>0.4</v>
      </c>
      <c r="I45" s="591">
        <v>0.45</v>
      </c>
      <c r="J45" s="591">
        <f t="shared" si="3"/>
        <v>1.35</v>
      </c>
      <c r="K45" s="568"/>
    </row>
    <row r="46" spans="1:11" ht="18" customHeight="1">
      <c r="A46" s="568"/>
      <c r="B46" s="601" t="s">
        <v>1024</v>
      </c>
      <c r="C46" s="593" t="s">
        <v>1025</v>
      </c>
      <c r="D46" s="578">
        <v>1</v>
      </c>
      <c r="E46" s="579" t="s">
        <v>8</v>
      </c>
      <c r="F46" s="569">
        <v>1</v>
      </c>
      <c r="G46" s="590">
        <v>8.1999999999999993</v>
      </c>
      <c r="H46" s="591">
        <f t="shared" si="2"/>
        <v>0.4</v>
      </c>
      <c r="I46" s="591">
        <v>0.45</v>
      </c>
      <c r="J46" s="591">
        <f t="shared" si="3"/>
        <v>1.476</v>
      </c>
      <c r="K46" s="568"/>
    </row>
    <row r="47" spans="1:11" ht="18" customHeight="1">
      <c r="A47" s="568"/>
      <c r="B47" s="601" t="s">
        <v>1026</v>
      </c>
      <c r="C47" s="593" t="s">
        <v>1022</v>
      </c>
      <c r="D47" s="578">
        <v>1</v>
      </c>
      <c r="E47" s="579" t="s">
        <v>8</v>
      </c>
      <c r="F47" s="569">
        <v>1</v>
      </c>
      <c r="G47" s="590">
        <v>1.425</v>
      </c>
      <c r="H47" s="591">
        <f t="shared" si="2"/>
        <v>0.4</v>
      </c>
      <c r="I47" s="591">
        <v>0.45</v>
      </c>
      <c r="J47" s="591">
        <f t="shared" si="3"/>
        <v>0.25650000000000006</v>
      </c>
      <c r="K47" s="568"/>
    </row>
    <row r="48" spans="1:11" ht="18" customHeight="1">
      <c r="A48" s="568"/>
      <c r="B48" s="601" t="s">
        <v>1027</v>
      </c>
      <c r="C48" s="593" t="s">
        <v>1028</v>
      </c>
      <c r="D48" s="578">
        <v>1</v>
      </c>
      <c r="E48" s="579" t="s">
        <v>8</v>
      </c>
      <c r="F48" s="569">
        <v>1</v>
      </c>
      <c r="G48" s="590">
        <v>5.0750000000000002</v>
      </c>
      <c r="H48" s="591">
        <f t="shared" si="2"/>
        <v>0.4</v>
      </c>
      <c r="I48" s="591">
        <v>0.45</v>
      </c>
      <c r="J48" s="591">
        <f t="shared" si="3"/>
        <v>0.91350000000000009</v>
      </c>
      <c r="K48" s="568"/>
    </row>
    <row r="49" spans="1:11" ht="18" customHeight="1">
      <c r="A49" s="568"/>
      <c r="B49" s="601" t="s">
        <v>1029</v>
      </c>
      <c r="C49" s="593" t="s">
        <v>1030</v>
      </c>
      <c r="D49" s="578">
        <v>1</v>
      </c>
      <c r="E49" s="579" t="s">
        <v>8</v>
      </c>
      <c r="F49" s="569">
        <v>1</v>
      </c>
      <c r="G49" s="590">
        <v>5.0750000000000002</v>
      </c>
      <c r="H49" s="591">
        <f t="shared" si="2"/>
        <v>0.4</v>
      </c>
      <c r="I49" s="591">
        <v>0.6</v>
      </c>
      <c r="J49" s="591">
        <f t="shared" si="3"/>
        <v>1.2180000000000002</v>
      </c>
      <c r="K49" s="568"/>
    </row>
    <row r="50" spans="1:11" ht="18" customHeight="1">
      <c r="A50" s="568"/>
      <c r="B50" s="601" t="s">
        <v>1031</v>
      </c>
      <c r="C50" s="593" t="s">
        <v>1030</v>
      </c>
      <c r="D50" s="578">
        <v>1</v>
      </c>
      <c r="E50" s="579" t="s">
        <v>8</v>
      </c>
      <c r="F50" s="569">
        <v>1</v>
      </c>
      <c r="G50" s="590">
        <v>5.8</v>
      </c>
      <c r="H50" s="591">
        <f t="shared" si="2"/>
        <v>0.4</v>
      </c>
      <c r="I50" s="591">
        <v>0.45</v>
      </c>
      <c r="J50" s="591">
        <f t="shared" si="3"/>
        <v>1.044</v>
      </c>
      <c r="K50" s="568"/>
    </row>
    <row r="51" spans="1:11" ht="18" customHeight="1">
      <c r="A51" s="568"/>
      <c r="B51" s="601" t="s">
        <v>1032</v>
      </c>
      <c r="C51" s="593" t="s">
        <v>575</v>
      </c>
      <c r="D51" s="578">
        <v>1</v>
      </c>
      <c r="E51" s="579" t="s">
        <v>8</v>
      </c>
      <c r="F51" s="569">
        <v>1</v>
      </c>
      <c r="G51" s="590">
        <v>21.9</v>
      </c>
      <c r="H51" s="591">
        <f t="shared" si="2"/>
        <v>0.4</v>
      </c>
      <c r="I51" s="591">
        <v>0.45</v>
      </c>
      <c r="J51" s="591">
        <f t="shared" si="3"/>
        <v>3.9420000000000002</v>
      </c>
      <c r="K51" s="568"/>
    </row>
    <row r="52" spans="1:11" ht="18" customHeight="1">
      <c r="A52" s="568"/>
      <c r="B52" s="601" t="s">
        <v>1033</v>
      </c>
      <c r="C52" s="593" t="s">
        <v>577</v>
      </c>
      <c r="D52" s="578">
        <v>1</v>
      </c>
      <c r="E52" s="579" t="s">
        <v>8</v>
      </c>
      <c r="F52" s="569">
        <v>1</v>
      </c>
      <c r="G52" s="590">
        <v>2.9</v>
      </c>
      <c r="H52" s="591">
        <f t="shared" si="2"/>
        <v>0.4</v>
      </c>
      <c r="I52" s="591">
        <v>0.45</v>
      </c>
      <c r="J52" s="591">
        <f t="shared" si="3"/>
        <v>0.52200000000000002</v>
      </c>
      <c r="K52" s="568"/>
    </row>
    <row r="53" spans="1:11" ht="18" customHeight="1">
      <c r="A53" s="568"/>
      <c r="B53" s="601" t="s">
        <v>1034</v>
      </c>
      <c r="C53" s="593" t="s">
        <v>573</v>
      </c>
      <c r="D53" s="578">
        <v>1</v>
      </c>
      <c r="E53" s="579" t="s">
        <v>8</v>
      </c>
      <c r="F53" s="569">
        <v>1</v>
      </c>
      <c r="G53" s="590">
        <v>21.774999999999999</v>
      </c>
      <c r="H53" s="591">
        <f t="shared" si="2"/>
        <v>0.4</v>
      </c>
      <c r="I53" s="591">
        <v>0.45</v>
      </c>
      <c r="J53" s="591">
        <f t="shared" si="3"/>
        <v>3.9194999999999998</v>
      </c>
      <c r="K53" s="568"/>
    </row>
    <row r="54" spans="1:11" ht="18" customHeight="1">
      <c r="A54" s="568"/>
      <c r="B54" s="601" t="s">
        <v>1035</v>
      </c>
      <c r="C54" s="593" t="s">
        <v>574</v>
      </c>
      <c r="D54" s="578">
        <v>1</v>
      </c>
      <c r="E54" s="579" t="s">
        <v>8</v>
      </c>
      <c r="F54" s="569">
        <v>1</v>
      </c>
      <c r="G54" s="590">
        <v>6.4</v>
      </c>
      <c r="H54" s="591">
        <f t="shared" si="2"/>
        <v>0.4</v>
      </c>
      <c r="I54" s="591">
        <v>0.6</v>
      </c>
      <c r="J54" s="591">
        <f t="shared" si="3"/>
        <v>1.5360000000000003</v>
      </c>
      <c r="K54" s="568"/>
    </row>
    <row r="55" spans="1:11" ht="18" customHeight="1">
      <c r="A55" s="568"/>
      <c r="B55" s="601" t="s">
        <v>1036</v>
      </c>
      <c r="C55" s="593" t="s">
        <v>572</v>
      </c>
      <c r="D55" s="578">
        <v>1</v>
      </c>
      <c r="E55" s="579" t="s">
        <v>8</v>
      </c>
      <c r="F55" s="569">
        <v>1</v>
      </c>
      <c r="G55" s="590">
        <v>6</v>
      </c>
      <c r="H55" s="591">
        <f t="shared" si="2"/>
        <v>0.4</v>
      </c>
      <c r="I55" s="591">
        <v>0.45</v>
      </c>
      <c r="J55" s="591">
        <f t="shared" si="3"/>
        <v>1.0800000000000003</v>
      </c>
      <c r="K55" s="568"/>
    </row>
    <row r="56" spans="1:11" ht="18" customHeight="1">
      <c r="A56" s="568"/>
      <c r="B56" s="601" t="s">
        <v>1037</v>
      </c>
      <c r="C56" s="593" t="s">
        <v>1038</v>
      </c>
      <c r="D56" s="578">
        <v>1</v>
      </c>
      <c r="E56" s="579" t="s">
        <v>8</v>
      </c>
      <c r="F56" s="569">
        <v>1</v>
      </c>
      <c r="G56" s="590">
        <v>2.5</v>
      </c>
      <c r="H56" s="591">
        <f t="shared" si="2"/>
        <v>0.4</v>
      </c>
      <c r="I56" s="591">
        <v>0.45</v>
      </c>
      <c r="J56" s="591">
        <f t="shared" si="3"/>
        <v>0.45</v>
      </c>
      <c r="K56" s="568"/>
    </row>
    <row r="57" spans="1:11" ht="18" customHeight="1">
      <c r="A57" s="568"/>
      <c r="B57" s="601" t="s">
        <v>1039</v>
      </c>
      <c r="C57" s="593" t="s">
        <v>1040</v>
      </c>
      <c r="D57" s="578">
        <v>1</v>
      </c>
      <c r="E57" s="579" t="s">
        <v>8</v>
      </c>
      <c r="F57" s="569">
        <v>2</v>
      </c>
      <c r="G57" s="590">
        <v>1.1000000000000001</v>
      </c>
      <c r="H57" s="591">
        <f t="shared" si="2"/>
        <v>0.4</v>
      </c>
      <c r="I57" s="591">
        <v>0.45</v>
      </c>
      <c r="J57" s="591">
        <f t="shared" si="3"/>
        <v>0.39600000000000007</v>
      </c>
      <c r="K57" s="568"/>
    </row>
    <row r="58" spans="1:11" ht="18" customHeight="1">
      <c r="A58" s="568"/>
      <c r="B58" s="601" t="s">
        <v>1041</v>
      </c>
      <c r="C58" s="593" t="s">
        <v>547</v>
      </c>
      <c r="D58" s="578">
        <v>1</v>
      </c>
      <c r="E58" s="579" t="s">
        <v>8</v>
      </c>
      <c r="F58" s="569">
        <v>1</v>
      </c>
      <c r="G58" s="590">
        <v>7.9</v>
      </c>
      <c r="H58" s="591">
        <f t="shared" si="2"/>
        <v>0.4</v>
      </c>
      <c r="I58" s="591">
        <v>0.45</v>
      </c>
      <c r="J58" s="591">
        <f t="shared" si="3"/>
        <v>1.4220000000000002</v>
      </c>
      <c r="K58" s="568"/>
    </row>
    <row r="59" spans="1:11" ht="18" customHeight="1">
      <c r="A59" s="568"/>
      <c r="B59" s="601" t="s">
        <v>1042</v>
      </c>
      <c r="C59" s="593" t="s">
        <v>547</v>
      </c>
      <c r="D59" s="578">
        <v>1</v>
      </c>
      <c r="E59" s="579" t="s">
        <v>8</v>
      </c>
      <c r="F59" s="569">
        <v>1</v>
      </c>
      <c r="G59" s="590">
        <v>3.7</v>
      </c>
      <c r="H59" s="591">
        <f t="shared" si="2"/>
        <v>0.4</v>
      </c>
      <c r="I59" s="591">
        <v>0.45</v>
      </c>
      <c r="J59" s="591">
        <f t="shared" si="3"/>
        <v>0.66600000000000015</v>
      </c>
      <c r="K59" s="568"/>
    </row>
    <row r="60" spans="1:11" ht="18" customHeight="1">
      <c r="A60" s="568"/>
      <c r="B60" s="601" t="s">
        <v>1043</v>
      </c>
      <c r="C60" s="593" t="s">
        <v>491</v>
      </c>
      <c r="D60" s="578">
        <v>1</v>
      </c>
      <c r="E60" s="579" t="s">
        <v>8</v>
      </c>
      <c r="F60" s="569">
        <v>1</v>
      </c>
      <c r="G60" s="590">
        <v>1.956</v>
      </c>
      <c r="H60" s="591">
        <f t="shared" si="2"/>
        <v>0.4</v>
      </c>
      <c r="I60" s="591">
        <v>0.45</v>
      </c>
      <c r="J60" s="591">
        <f t="shared" si="3"/>
        <v>0.35208</v>
      </c>
      <c r="K60" s="568"/>
    </row>
    <row r="61" spans="1:11" ht="18" customHeight="1">
      <c r="A61" s="568"/>
      <c r="B61" s="601" t="s">
        <v>1043</v>
      </c>
      <c r="C61" s="593" t="s">
        <v>491</v>
      </c>
      <c r="D61" s="578">
        <v>1</v>
      </c>
      <c r="E61" s="579" t="s">
        <v>8</v>
      </c>
      <c r="F61" s="569">
        <v>1</v>
      </c>
      <c r="G61" s="590">
        <v>6.6</v>
      </c>
      <c r="H61" s="591">
        <f t="shared" si="2"/>
        <v>0.4</v>
      </c>
      <c r="I61" s="591">
        <v>0.6</v>
      </c>
      <c r="J61" s="591">
        <f t="shared" si="3"/>
        <v>1.5840000000000001</v>
      </c>
      <c r="K61" s="568"/>
    </row>
    <row r="62" spans="1:11" ht="18" customHeight="1">
      <c r="A62" s="568"/>
      <c r="B62" s="601" t="s">
        <v>1037</v>
      </c>
      <c r="C62" s="593" t="s">
        <v>491</v>
      </c>
      <c r="D62" s="578">
        <v>1</v>
      </c>
      <c r="E62" s="579" t="s">
        <v>8</v>
      </c>
      <c r="F62" s="569">
        <v>1</v>
      </c>
      <c r="G62" s="590">
        <v>2.5</v>
      </c>
      <c r="H62" s="591">
        <f t="shared" si="2"/>
        <v>0.4</v>
      </c>
      <c r="I62" s="591">
        <v>0.6</v>
      </c>
      <c r="J62" s="591">
        <f t="shared" si="3"/>
        <v>0.6</v>
      </c>
      <c r="K62" s="568"/>
    </row>
    <row r="63" spans="1:11" ht="18" customHeight="1">
      <c r="A63" s="568"/>
      <c r="B63" s="601" t="s">
        <v>1036</v>
      </c>
      <c r="C63" s="593" t="s">
        <v>550</v>
      </c>
      <c r="D63" s="578">
        <v>1</v>
      </c>
      <c r="E63" s="579" t="s">
        <v>8</v>
      </c>
      <c r="F63" s="569">
        <v>1</v>
      </c>
      <c r="G63" s="590">
        <v>6.2</v>
      </c>
      <c r="H63" s="591">
        <f t="shared" si="2"/>
        <v>0.4</v>
      </c>
      <c r="I63" s="591">
        <v>0.45</v>
      </c>
      <c r="J63" s="591">
        <f t="shared" si="3"/>
        <v>1.1160000000000003</v>
      </c>
      <c r="K63" s="568"/>
    </row>
    <row r="64" spans="1:11" ht="18" customHeight="1">
      <c r="A64" s="568"/>
      <c r="B64" s="601" t="s">
        <v>1044</v>
      </c>
      <c r="C64" s="593" t="s">
        <v>490</v>
      </c>
      <c r="D64" s="578">
        <v>1</v>
      </c>
      <c r="E64" s="579" t="s">
        <v>8</v>
      </c>
      <c r="F64" s="569">
        <v>1</v>
      </c>
      <c r="G64" s="590">
        <v>12.975</v>
      </c>
      <c r="H64" s="591">
        <f t="shared" si="2"/>
        <v>0.4</v>
      </c>
      <c r="I64" s="591">
        <v>0.45</v>
      </c>
      <c r="J64" s="591">
        <f t="shared" si="3"/>
        <v>2.3355000000000001</v>
      </c>
      <c r="K64" s="568"/>
    </row>
    <row r="65" spans="1:11" ht="18" customHeight="1">
      <c r="A65" s="568"/>
      <c r="B65" s="601" t="s">
        <v>1045</v>
      </c>
      <c r="C65" s="593" t="s">
        <v>548</v>
      </c>
      <c r="D65" s="578">
        <v>1</v>
      </c>
      <c r="E65" s="579" t="s">
        <v>8</v>
      </c>
      <c r="F65" s="569">
        <v>1</v>
      </c>
      <c r="G65" s="590">
        <v>1.9</v>
      </c>
      <c r="H65" s="591">
        <f t="shared" si="2"/>
        <v>0.4</v>
      </c>
      <c r="I65" s="591">
        <v>0.6</v>
      </c>
      <c r="J65" s="591">
        <f t="shared" si="3"/>
        <v>0.45599999999999996</v>
      </c>
      <c r="K65" s="568"/>
    </row>
    <row r="66" spans="1:11" ht="18" customHeight="1">
      <c r="A66" s="568"/>
      <c r="B66" s="601" t="s">
        <v>1045</v>
      </c>
      <c r="C66" s="593" t="s">
        <v>548</v>
      </c>
      <c r="D66" s="578">
        <v>1</v>
      </c>
      <c r="E66" s="579" t="s">
        <v>8</v>
      </c>
      <c r="F66" s="569">
        <v>1</v>
      </c>
      <c r="G66" s="590">
        <v>6.8</v>
      </c>
      <c r="H66" s="591">
        <f t="shared" si="2"/>
        <v>0.4</v>
      </c>
      <c r="I66" s="591">
        <v>0.6</v>
      </c>
      <c r="J66" s="591">
        <f t="shared" si="3"/>
        <v>1.6320000000000001</v>
      </c>
      <c r="K66" s="568"/>
    </row>
    <row r="67" spans="1:11" ht="18" customHeight="1">
      <c r="A67" s="568"/>
      <c r="B67" s="601" t="s">
        <v>1046</v>
      </c>
      <c r="C67" s="593" t="s">
        <v>489</v>
      </c>
      <c r="D67" s="578">
        <v>1</v>
      </c>
      <c r="E67" s="579" t="s">
        <v>8</v>
      </c>
      <c r="F67" s="569">
        <v>1</v>
      </c>
      <c r="G67" s="590">
        <v>1.9</v>
      </c>
      <c r="H67" s="591">
        <f t="shared" si="2"/>
        <v>0.4</v>
      </c>
      <c r="I67" s="591">
        <v>0.45</v>
      </c>
      <c r="J67" s="591">
        <f t="shared" si="3"/>
        <v>0.34200000000000003</v>
      </c>
      <c r="K67" s="568"/>
    </row>
    <row r="68" spans="1:11" ht="18" customHeight="1">
      <c r="A68" s="568"/>
      <c r="B68" s="601" t="s">
        <v>1047</v>
      </c>
      <c r="C68" s="593" t="s">
        <v>489</v>
      </c>
      <c r="D68" s="578">
        <v>1</v>
      </c>
      <c r="E68" s="579" t="s">
        <v>8</v>
      </c>
      <c r="F68" s="569">
        <v>1</v>
      </c>
      <c r="G68" s="590">
        <v>16.675000000000001</v>
      </c>
      <c r="H68" s="591">
        <f t="shared" si="2"/>
        <v>0.4</v>
      </c>
      <c r="I68" s="591">
        <v>0.45</v>
      </c>
      <c r="J68" s="591">
        <f t="shared" si="3"/>
        <v>3.0015000000000005</v>
      </c>
      <c r="K68" s="568"/>
    </row>
    <row r="69" spans="1:11" ht="18" customHeight="1">
      <c r="A69" s="568"/>
      <c r="B69" s="601" t="s">
        <v>1048</v>
      </c>
      <c r="C69" s="593" t="s">
        <v>489</v>
      </c>
      <c r="D69" s="578">
        <v>1</v>
      </c>
      <c r="E69" s="579" t="s">
        <v>8</v>
      </c>
      <c r="F69" s="569">
        <v>1</v>
      </c>
      <c r="G69" s="590">
        <v>1.9</v>
      </c>
      <c r="H69" s="591">
        <f t="shared" si="2"/>
        <v>0.4</v>
      </c>
      <c r="I69" s="591">
        <v>0.45</v>
      </c>
      <c r="J69" s="591">
        <f t="shared" si="3"/>
        <v>0.34200000000000003</v>
      </c>
      <c r="K69" s="568"/>
    </row>
    <row r="70" spans="1:11" ht="18" customHeight="1">
      <c r="A70" s="568"/>
      <c r="B70" s="601" t="s">
        <v>1049</v>
      </c>
      <c r="C70" s="577" t="s">
        <v>583</v>
      </c>
      <c r="D70" s="578">
        <v>1</v>
      </c>
      <c r="E70" s="579" t="s">
        <v>8</v>
      </c>
      <c r="F70" s="569">
        <v>1</v>
      </c>
      <c r="G70" s="590">
        <v>27.8</v>
      </c>
      <c r="H70" s="591">
        <f t="shared" si="2"/>
        <v>0.4</v>
      </c>
      <c r="I70" s="591">
        <v>0.45</v>
      </c>
      <c r="J70" s="591">
        <f t="shared" si="3"/>
        <v>5.0040000000000004</v>
      </c>
      <c r="K70" s="568"/>
    </row>
    <row r="71" spans="1:11" ht="18" customHeight="1">
      <c r="A71" s="568"/>
      <c r="B71" s="601" t="s">
        <v>1049</v>
      </c>
      <c r="C71" s="577" t="s">
        <v>583</v>
      </c>
      <c r="D71" s="578">
        <v>1</v>
      </c>
      <c r="E71" s="579" t="s">
        <v>8</v>
      </c>
      <c r="F71" s="569">
        <v>1</v>
      </c>
      <c r="G71" s="590">
        <v>5.375</v>
      </c>
      <c r="H71" s="591">
        <f t="shared" si="2"/>
        <v>0.4</v>
      </c>
      <c r="I71" s="591">
        <v>0.6</v>
      </c>
      <c r="J71" s="591">
        <f t="shared" si="3"/>
        <v>1.2899999999999998</v>
      </c>
      <c r="K71" s="568"/>
    </row>
    <row r="72" spans="1:11" ht="18" customHeight="1">
      <c r="A72" s="568"/>
      <c r="B72" s="584" t="s">
        <v>488</v>
      </c>
      <c r="C72" s="589"/>
      <c r="G72" s="590"/>
      <c r="H72" s="591"/>
      <c r="I72" s="591"/>
      <c r="J72" s="591"/>
      <c r="K72" s="568"/>
    </row>
    <row r="73" spans="1:11" ht="18" customHeight="1">
      <c r="A73" s="568"/>
      <c r="B73" s="601" t="s">
        <v>1050</v>
      </c>
      <c r="C73" s="593" t="s">
        <v>549</v>
      </c>
      <c r="D73" s="578">
        <v>1</v>
      </c>
      <c r="E73" s="579" t="s">
        <v>8</v>
      </c>
      <c r="F73" s="569">
        <v>1</v>
      </c>
      <c r="G73" s="590">
        <v>20.2</v>
      </c>
      <c r="H73" s="591">
        <f t="shared" si="2"/>
        <v>0.4</v>
      </c>
      <c r="I73" s="591">
        <v>0.45</v>
      </c>
      <c r="J73" s="591">
        <f>PRODUCT(D73:I73)</f>
        <v>3.6360000000000001</v>
      </c>
      <c r="K73" s="568"/>
    </row>
    <row r="74" spans="1:11" ht="18" customHeight="1">
      <c r="A74" s="568"/>
      <c r="B74" s="601" t="s">
        <v>1051</v>
      </c>
      <c r="C74" s="593" t="s">
        <v>483</v>
      </c>
      <c r="D74" s="578">
        <v>1</v>
      </c>
      <c r="E74" s="579" t="s">
        <v>8</v>
      </c>
      <c r="F74" s="569">
        <v>1</v>
      </c>
      <c r="G74" s="590">
        <v>3.7</v>
      </c>
      <c r="H74" s="591">
        <f t="shared" si="2"/>
        <v>0.4</v>
      </c>
      <c r="I74" s="591">
        <v>0.6</v>
      </c>
      <c r="J74" s="591">
        <f t="shared" ref="J74:J103" si="4">PRODUCT(D74:I74)</f>
        <v>0.88800000000000012</v>
      </c>
      <c r="K74" s="568"/>
    </row>
    <row r="75" spans="1:11" ht="18" customHeight="1">
      <c r="A75" s="568"/>
      <c r="B75" s="601" t="s">
        <v>1052</v>
      </c>
      <c r="C75" s="593" t="s">
        <v>1053</v>
      </c>
      <c r="D75" s="578">
        <v>1</v>
      </c>
      <c r="E75" s="579" t="s">
        <v>8</v>
      </c>
      <c r="F75" s="569">
        <v>1</v>
      </c>
      <c r="G75" s="590">
        <v>3.3</v>
      </c>
      <c r="H75" s="591">
        <f t="shared" si="2"/>
        <v>0.4</v>
      </c>
      <c r="I75" s="591">
        <v>0.45</v>
      </c>
      <c r="J75" s="591">
        <f t="shared" si="4"/>
        <v>0.59400000000000008</v>
      </c>
      <c r="K75" s="568"/>
    </row>
    <row r="76" spans="1:11" ht="18" customHeight="1">
      <c r="A76" s="568"/>
      <c r="B76" s="601" t="s">
        <v>1054</v>
      </c>
      <c r="C76" s="593" t="s">
        <v>1055</v>
      </c>
      <c r="D76" s="578">
        <v>1</v>
      </c>
      <c r="E76" s="579" t="s">
        <v>8</v>
      </c>
      <c r="F76" s="569">
        <v>1</v>
      </c>
      <c r="G76" s="590">
        <v>3.5</v>
      </c>
      <c r="H76" s="591">
        <f t="shared" si="2"/>
        <v>0.4</v>
      </c>
      <c r="I76" s="591">
        <v>0.45</v>
      </c>
      <c r="J76" s="591">
        <f t="shared" si="4"/>
        <v>0.63000000000000012</v>
      </c>
      <c r="K76" s="568"/>
    </row>
    <row r="77" spans="1:11" ht="18" customHeight="1">
      <c r="A77" s="568"/>
      <c r="B77" s="601" t="s">
        <v>1056</v>
      </c>
      <c r="C77" s="593" t="s">
        <v>1057</v>
      </c>
      <c r="D77" s="578">
        <v>1</v>
      </c>
      <c r="E77" s="579" t="s">
        <v>8</v>
      </c>
      <c r="F77" s="569">
        <v>1</v>
      </c>
      <c r="G77" s="590">
        <v>3.5</v>
      </c>
      <c r="H77" s="591">
        <f t="shared" si="2"/>
        <v>0.4</v>
      </c>
      <c r="I77" s="591">
        <v>0.45</v>
      </c>
      <c r="J77" s="591">
        <f t="shared" si="4"/>
        <v>0.63000000000000012</v>
      </c>
      <c r="K77" s="568"/>
    </row>
    <row r="78" spans="1:11" ht="18" customHeight="1">
      <c r="A78" s="568"/>
      <c r="B78" s="601" t="s">
        <v>1058</v>
      </c>
      <c r="C78" s="593" t="s">
        <v>1059</v>
      </c>
      <c r="D78" s="578">
        <v>1</v>
      </c>
      <c r="E78" s="579" t="s">
        <v>8</v>
      </c>
      <c r="F78" s="569">
        <v>1</v>
      </c>
      <c r="G78" s="590">
        <v>8.3000000000000007</v>
      </c>
      <c r="H78" s="591">
        <f t="shared" si="2"/>
        <v>0.4</v>
      </c>
      <c r="I78" s="591">
        <v>0.45</v>
      </c>
      <c r="J78" s="591">
        <f t="shared" si="4"/>
        <v>1.4940000000000002</v>
      </c>
      <c r="K78" s="568"/>
    </row>
    <row r="79" spans="1:11" ht="18" customHeight="1">
      <c r="A79" s="568"/>
      <c r="B79" s="601" t="s">
        <v>1052</v>
      </c>
      <c r="C79" s="593" t="s">
        <v>1060</v>
      </c>
      <c r="D79" s="578">
        <v>1</v>
      </c>
      <c r="E79" s="579" t="s">
        <v>8</v>
      </c>
      <c r="F79" s="569">
        <v>1</v>
      </c>
      <c r="G79" s="590">
        <v>16.7</v>
      </c>
      <c r="H79" s="591">
        <f t="shared" si="2"/>
        <v>0.4</v>
      </c>
      <c r="I79" s="591">
        <v>0.45</v>
      </c>
      <c r="J79" s="591">
        <f t="shared" si="4"/>
        <v>3.0059999999999998</v>
      </c>
      <c r="K79" s="568"/>
    </row>
    <row r="80" spans="1:11" ht="18" customHeight="1">
      <c r="A80" s="568"/>
      <c r="B80" s="601" t="s">
        <v>1061</v>
      </c>
      <c r="C80" s="593" t="s">
        <v>485</v>
      </c>
      <c r="D80" s="578">
        <v>1</v>
      </c>
      <c r="E80" s="579" t="s">
        <v>8</v>
      </c>
      <c r="F80" s="569">
        <v>1</v>
      </c>
      <c r="G80" s="590">
        <v>6.8</v>
      </c>
      <c r="H80" s="591">
        <f t="shared" si="2"/>
        <v>0.4</v>
      </c>
      <c r="I80" s="591">
        <v>0.45</v>
      </c>
      <c r="J80" s="591">
        <f t="shared" si="4"/>
        <v>1.2240000000000002</v>
      </c>
      <c r="K80" s="568"/>
    </row>
    <row r="81" spans="1:11" ht="18" customHeight="1">
      <c r="A81" s="568"/>
      <c r="B81" s="601" t="s">
        <v>1061</v>
      </c>
      <c r="C81" s="593" t="s">
        <v>485</v>
      </c>
      <c r="D81" s="578">
        <v>1</v>
      </c>
      <c r="E81" s="579" t="s">
        <v>8</v>
      </c>
      <c r="F81" s="569">
        <v>1</v>
      </c>
      <c r="G81" s="590">
        <v>7.351</v>
      </c>
      <c r="H81" s="591">
        <f>0.23+0.1+0.1</f>
        <v>0.43000000000000005</v>
      </c>
      <c r="I81" s="591">
        <v>0.45</v>
      </c>
      <c r="J81" s="591">
        <f t="shared" si="4"/>
        <v>1.4224185000000003</v>
      </c>
      <c r="K81" s="568"/>
    </row>
    <row r="82" spans="1:11" ht="18" customHeight="1">
      <c r="A82" s="568"/>
      <c r="B82" s="601" t="s">
        <v>1061</v>
      </c>
      <c r="C82" s="593" t="s">
        <v>485</v>
      </c>
      <c r="D82" s="578">
        <v>1</v>
      </c>
      <c r="E82" s="579" t="s">
        <v>8</v>
      </c>
      <c r="F82" s="569">
        <v>1</v>
      </c>
      <c r="G82" s="590">
        <v>6.5990000000000002</v>
      </c>
      <c r="H82" s="591">
        <f>0.23+0.1+0.1</f>
        <v>0.43000000000000005</v>
      </c>
      <c r="I82" s="591">
        <v>0.45</v>
      </c>
      <c r="J82" s="591">
        <f t="shared" si="4"/>
        <v>1.2769065000000002</v>
      </c>
      <c r="K82" s="568"/>
    </row>
    <row r="83" spans="1:11" ht="18" customHeight="1">
      <c r="A83" s="568"/>
      <c r="B83" s="601" t="s">
        <v>1062</v>
      </c>
      <c r="C83" s="593" t="s">
        <v>487</v>
      </c>
      <c r="D83" s="578">
        <v>1</v>
      </c>
      <c r="E83" s="579" t="s">
        <v>8</v>
      </c>
      <c r="F83" s="569">
        <v>1</v>
      </c>
      <c r="G83" s="590">
        <v>6.5</v>
      </c>
      <c r="H83" s="591">
        <f t="shared" ref="H83:H103" si="5">0.2+0.1+0.1</f>
        <v>0.4</v>
      </c>
      <c r="I83" s="591">
        <v>0.45</v>
      </c>
      <c r="J83" s="591">
        <f t="shared" si="4"/>
        <v>1.1700000000000002</v>
      </c>
      <c r="K83" s="568"/>
    </row>
    <row r="84" spans="1:11" ht="18" customHeight="1">
      <c r="A84" s="568"/>
      <c r="B84" s="601" t="s">
        <v>1063</v>
      </c>
      <c r="C84" s="593" t="s">
        <v>487</v>
      </c>
      <c r="D84" s="578">
        <v>1</v>
      </c>
      <c r="E84" s="579" t="s">
        <v>8</v>
      </c>
      <c r="F84" s="569">
        <v>1</v>
      </c>
      <c r="G84" s="590">
        <v>5.4</v>
      </c>
      <c r="H84" s="591">
        <f t="shared" si="5"/>
        <v>0.4</v>
      </c>
      <c r="I84" s="591">
        <v>0.45</v>
      </c>
      <c r="J84" s="591">
        <f t="shared" si="4"/>
        <v>0.97200000000000009</v>
      </c>
      <c r="K84" s="568"/>
    </row>
    <row r="85" spans="1:11" ht="18" customHeight="1">
      <c r="A85" s="568"/>
      <c r="B85" s="601" t="s">
        <v>571</v>
      </c>
      <c r="C85" s="593" t="s">
        <v>1064</v>
      </c>
      <c r="D85" s="578">
        <v>1</v>
      </c>
      <c r="E85" s="579" t="s">
        <v>8</v>
      </c>
      <c r="F85" s="569">
        <v>3</v>
      </c>
      <c r="G85" s="590">
        <v>1.7</v>
      </c>
      <c r="H85" s="591">
        <f t="shared" si="5"/>
        <v>0.4</v>
      </c>
      <c r="I85" s="591">
        <v>0.45</v>
      </c>
      <c r="J85" s="591">
        <f t="shared" si="4"/>
        <v>0.91800000000000004</v>
      </c>
      <c r="K85" s="568"/>
    </row>
    <row r="86" spans="1:11" ht="18" customHeight="1">
      <c r="A86" s="568"/>
      <c r="B86" s="601" t="s">
        <v>1065</v>
      </c>
      <c r="C86" s="593" t="s">
        <v>1064</v>
      </c>
      <c r="D86" s="578">
        <v>1</v>
      </c>
      <c r="E86" s="579" t="s">
        <v>8</v>
      </c>
      <c r="F86" s="569">
        <v>1</v>
      </c>
      <c r="G86" s="590">
        <v>6.8</v>
      </c>
      <c r="H86" s="591">
        <f t="shared" si="5"/>
        <v>0.4</v>
      </c>
      <c r="I86" s="591">
        <v>0.6</v>
      </c>
      <c r="J86" s="591">
        <f t="shared" si="4"/>
        <v>1.6320000000000001</v>
      </c>
      <c r="K86" s="568"/>
    </row>
    <row r="87" spans="1:11" ht="18" customHeight="1">
      <c r="A87" s="568"/>
      <c r="B87" s="601" t="s">
        <v>1066</v>
      </c>
      <c r="C87" s="593" t="s">
        <v>1067</v>
      </c>
      <c r="D87" s="578">
        <v>1</v>
      </c>
      <c r="E87" s="579" t="s">
        <v>8</v>
      </c>
      <c r="F87" s="569">
        <v>1</v>
      </c>
      <c r="G87" s="590">
        <v>2.6</v>
      </c>
      <c r="H87" s="591">
        <f t="shared" si="5"/>
        <v>0.4</v>
      </c>
      <c r="I87" s="591">
        <v>0.6</v>
      </c>
      <c r="J87" s="591">
        <f t="shared" si="4"/>
        <v>0.624</v>
      </c>
      <c r="K87" s="568"/>
    </row>
    <row r="88" spans="1:11" ht="18" customHeight="1">
      <c r="A88" s="568"/>
      <c r="B88" s="601" t="s">
        <v>1062</v>
      </c>
      <c r="C88" s="593" t="s">
        <v>1068</v>
      </c>
      <c r="D88" s="578">
        <v>1</v>
      </c>
      <c r="E88" s="579" t="s">
        <v>8</v>
      </c>
      <c r="F88" s="569">
        <v>1</v>
      </c>
      <c r="G88" s="590">
        <v>4.4000000000000004</v>
      </c>
      <c r="H88" s="591">
        <f t="shared" si="5"/>
        <v>0.4</v>
      </c>
      <c r="I88" s="591">
        <v>0.45</v>
      </c>
      <c r="J88" s="591">
        <f t="shared" si="4"/>
        <v>0.79200000000000015</v>
      </c>
      <c r="K88" s="568"/>
    </row>
    <row r="89" spans="1:11" ht="18" customHeight="1">
      <c r="A89" s="568"/>
      <c r="B89" s="601" t="s">
        <v>1069</v>
      </c>
      <c r="C89" s="593" t="s">
        <v>1070</v>
      </c>
      <c r="D89" s="578">
        <v>1</v>
      </c>
      <c r="E89" s="579" t="s">
        <v>8</v>
      </c>
      <c r="F89" s="569">
        <v>1</v>
      </c>
      <c r="G89" s="590">
        <v>6.8</v>
      </c>
      <c r="H89" s="591">
        <f t="shared" si="5"/>
        <v>0.4</v>
      </c>
      <c r="I89" s="591">
        <v>0.6</v>
      </c>
      <c r="J89" s="591">
        <f t="shared" si="4"/>
        <v>1.6320000000000001</v>
      </c>
      <c r="K89" s="568"/>
    </row>
    <row r="90" spans="1:11" ht="18" customHeight="1">
      <c r="A90" s="568"/>
      <c r="B90" s="601" t="s">
        <v>1062</v>
      </c>
      <c r="C90" s="593" t="s">
        <v>1068</v>
      </c>
      <c r="D90" s="578">
        <v>1</v>
      </c>
      <c r="E90" s="579" t="s">
        <v>8</v>
      </c>
      <c r="F90" s="569">
        <v>1</v>
      </c>
      <c r="G90" s="590">
        <v>4.4000000000000004</v>
      </c>
      <c r="H90" s="591">
        <f t="shared" si="5"/>
        <v>0.4</v>
      </c>
      <c r="I90" s="591">
        <v>0.45</v>
      </c>
      <c r="J90" s="591">
        <f t="shared" si="4"/>
        <v>0.79200000000000015</v>
      </c>
      <c r="K90" s="568"/>
    </row>
    <row r="91" spans="1:11" ht="18" customHeight="1">
      <c r="A91" s="568"/>
      <c r="B91" s="601" t="s">
        <v>1066</v>
      </c>
      <c r="C91" s="593" t="s">
        <v>1071</v>
      </c>
      <c r="D91" s="578">
        <v>1</v>
      </c>
      <c r="E91" s="579" t="s">
        <v>8</v>
      </c>
      <c r="F91" s="569">
        <v>1</v>
      </c>
      <c r="G91" s="590">
        <v>2.6</v>
      </c>
      <c r="H91" s="591">
        <f t="shared" si="5"/>
        <v>0.4</v>
      </c>
      <c r="I91" s="591">
        <v>0.45</v>
      </c>
      <c r="J91" s="591">
        <f t="shared" si="4"/>
        <v>0.46800000000000003</v>
      </c>
      <c r="K91" s="568"/>
    </row>
    <row r="92" spans="1:11" ht="18" customHeight="1">
      <c r="A92" s="568"/>
      <c r="B92" s="601" t="s">
        <v>1065</v>
      </c>
      <c r="C92" s="593" t="s">
        <v>1072</v>
      </c>
      <c r="D92" s="578">
        <v>1</v>
      </c>
      <c r="E92" s="579" t="s">
        <v>8</v>
      </c>
      <c r="F92" s="569">
        <v>1</v>
      </c>
      <c r="G92" s="590">
        <v>6.7990000000000004</v>
      </c>
      <c r="H92" s="591">
        <f t="shared" si="5"/>
        <v>0.4</v>
      </c>
      <c r="I92" s="591">
        <v>0.45</v>
      </c>
      <c r="J92" s="591">
        <f t="shared" si="4"/>
        <v>1.2238200000000001</v>
      </c>
      <c r="K92" s="568"/>
    </row>
    <row r="93" spans="1:11" ht="18" customHeight="1">
      <c r="A93" s="568"/>
      <c r="B93" s="601" t="s">
        <v>1073</v>
      </c>
      <c r="C93" s="593" t="s">
        <v>1074</v>
      </c>
      <c r="D93" s="578">
        <v>1</v>
      </c>
      <c r="E93" s="579" t="s">
        <v>8</v>
      </c>
      <c r="F93" s="569">
        <v>1</v>
      </c>
      <c r="G93" s="590">
        <v>11.8</v>
      </c>
      <c r="H93" s="591">
        <f t="shared" si="5"/>
        <v>0.4</v>
      </c>
      <c r="I93" s="591">
        <v>0.45</v>
      </c>
      <c r="J93" s="591">
        <f t="shared" si="4"/>
        <v>2.1240000000000006</v>
      </c>
      <c r="K93" s="568"/>
    </row>
    <row r="94" spans="1:11" ht="18" customHeight="1">
      <c r="A94" s="568"/>
      <c r="B94" s="601" t="s">
        <v>1075</v>
      </c>
      <c r="C94" s="593" t="s">
        <v>1076</v>
      </c>
      <c r="D94" s="578">
        <v>1</v>
      </c>
      <c r="E94" s="579" t="s">
        <v>8</v>
      </c>
      <c r="F94" s="569">
        <v>1</v>
      </c>
      <c r="G94" s="590">
        <v>6.7990000000000004</v>
      </c>
      <c r="H94" s="591">
        <f t="shared" si="5"/>
        <v>0.4</v>
      </c>
      <c r="I94" s="591">
        <v>0.45</v>
      </c>
      <c r="J94" s="591">
        <f t="shared" si="4"/>
        <v>1.2238200000000001</v>
      </c>
      <c r="K94" s="568"/>
    </row>
    <row r="95" spans="1:11" ht="18" customHeight="1">
      <c r="A95" s="568"/>
      <c r="B95" s="601" t="s">
        <v>1077</v>
      </c>
      <c r="C95" s="593" t="s">
        <v>1078</v>
      </c>
      <c r="D95" s="578">
        <v>1</v>
      </c>
      <c r="E95" s="579" t="s">
        <v>8</v>
      </c>
      <c r="F95" s="569">
        <v>1</v>
      </c>
      <c r="G95" s="590">
        <v>11.9</v>
      </c>
      <c r="H95" s="591">
        <f t="shared" si="5"/>
        <v>0.4</v>
      </c>
      <c r="I95" s="591">
        <v>0.45</v>
      </c>
      <c r="J95" s="591">
        <f t="shared" si="4"/>
        <v>2.1420000000000003</v>
      </c>
      <c r="K95" s="568"/>
    </row>
    <row r="96" spans="1:11" ht="18" customHeight="1">
      <c r="A96" s="568"/>
      <c r="B96" s="601" t="s">
        <v>1079</v>
      </c>
      <c r="C96" s="593" t="s">
        <v>1078</v>
      </c>
      <c r="D96" s="578">
        <v>1</v>
      </c>
      <c r="E96" s="579" t="s">
        <v>8</v>
      </c>
      <c r="F96" s="569">
        <v>1</v>
      </c>
      <c r="G96" s="590">
        <v>12.201000000000001</v>
      </c>
      <c r="H96" s="591">
        <f t="shared" si="5"/>
        <v>0.4</v>
      </c>
      <c r="I96" s="591">
        <v>0.45</v>
      </c>
      <c r="J96" s="591">
        <f t="shared" si="4"/>
        <v>2.1961800000000005</v>
      </c>
      <c r="K96" s="568"/>
    </row>
    <row r="97" spans="1:11" ht="18" customHeight="1">
      <c r="A97" s="568"/>
      <c r="B97" s="601" t="s">
        <v>1080</v>
      </c>
      <c r="C97" s="593" t="s">
        <v>1081</v>
      </c>
      <c r="D97" s="578">
        <v>1</v>
      </c>
      <c r="E97" s="579" t="s">
        <v>8</v>
      </c>
      <c r="F97" s="569">
        <v>1</v>
      </c>
      <c r="G97" s="590">
        <v>8.2010000000000005</v>
      </c>
      <c r="H97" s="591">
        <f t="shared" si="5"/>
        <v>0.4</v>
      </c>
      <c r="I97" s="591">
        <v>0.6</v>
      </c>
      <c r="J97" s="591">
        <f t="shared" si="4"/>
        <v>1.96824</v>
      </c>
      <c r="K97" s="568"/>
    </row>
    <row r="98" spans="1:11" ht="18" customHeight="1">
      <c r="A98" s="568"/>
      <c r="B98" s="601" t="s">
        <v>1082</v>
      </c>
      <c r="C98" s="593" t="s">
        <v>1083</v>
      </c>
      <c r="D98" s="578">
        <v>1</v>
      </c>
      <c r="E98" s="579" t="s">
        <v>8</v>
      </c>
      <c r="F98" s="569">
        <v>1</v>
      </c>
      <c r="G98" s="590">
        <v>11.01</v>
      </c>
      <c r="H98" s="591">
        <f t="shared" si="5"/>
        <v>0.4</v>
      </c>
      <c r="I98" s="591">
        <v>0.45</v>
      </c>
      <c r="J98" s="591">
        <f t="shared" si="4"/>
        <v>1.9818</v>
      </c>
      <c r="K98" s="568"/>
    </row>
    <row r="99" spans="1:11" ht="18" customHeight="1">
      <c r="A99" s="568"/>
      <c r="B99" s="601" t="s">
        <v>1084</v>
      </c>
      <c r="C99" s="593" t="s">
        <v>1085</v>
      </c>
      <c r="D99" s="578">
        <v>1</v>
      </c>
      <c r="E99" s="579" t="s">
        <v>8</v>
      </c>
      <c r="F99" s="569">
        <v>1</v>
      </c>
      <c r="G99" s="602">
        <v>4.2</v>
      </c>
      <c r="H99" s="591">
        <f t="shared" si="5"/>
        <v>0.4</v>
      </c>
      <c r="I99" s="603">
        <v>0.45</v>
      </c>
      <c r="J99" s="591">
        <f t="shared" si="4"/>
        <v>0.75600000000000012</v>
      </c>
      <c r="K99" s="568"/>
    </row>
    <row r="100" spans="1:11" ht="18" customHeight="1">
      <c r="A100" s="568"/>
      <c r="B100" s="601" t="s">
        <v>1086</v>
      </c>
      <c r="C100" s="593" t="s">
        <v>1085</v>
      </c>
      <c r="D100" s="578">
        <v>1</v>
      </c>
      <c r="E100" s="579" t="s">
        <v>8</v>
      </c>
      <c r="F100" s="569">
        <v>1</v>
      </c>
      <c r="G100" s="602">
        <v>1.1000000000000001</v>
      </c>
      <c r="H100" s="591">
        <f t="shared" si="5"/>
        <v>0.4</v>
      </c>
      <c r="I100" s="603">
        <v>0.45</v>
      </c>
      <c r="J100" s="591">
        <f t="shared" si="4"/>
        <v>0.19800000000000004</v>
      </c>
      <c r="K100" s="568"/>
    </row>
    <row r="101" spans="1:11" ht="18" customHeight="1">
      <c r="A101" s="568"/>
      <c r="B101" s="601" t="s">
        <v>1087</v>
      </c>
      <c r="C101" s="593" t="s">
        <v>1088</v>
      </c>
      <c r="D101" s="578">
        <v>1</v>
      </c>
      <c r="E101" s="579" t="s">
        <v>8</v>
      </c>
      <c r="F101" s="569">
        <v>1</v>
      </c>
      <c r="G101" s="602">
        <v>3</v>
      </c>
      <c r="H101" s="591">
        <f t="shared" si="5"/>
        <v>0.4</v>
      </c>
      <c r="I101" s="603">
        <v>0.45</v>
      </c>
      <c r="J101" s="591">
        <f t="shared" si="4"/>
        <v>0.54000000000000015</v>
      </c>
      <c r="K101" s="568"/>
    </row>
    <row r="102" spans="1:11" ht="18" customHeight="1">
      <c r="A102" s="568"/>
      <c r="B102" s="601" t="s">
        <v>1089</v>
      </c>
      <c r="C102" s="593" t="s">
        <v>1090</v>
      </c>
      <c r="D102" s="578">
        <v>1</v>
      </c>
      <c r="E102" s="579" t="s">
        <v>8</v>
      </c>
      <c r="F102" s="569">
        <v>1</v>
      </c>
      <c r="G102" s="602">
        <v>12.201000000000001</v>
      </c>
      <c r="H102" s="591">
        <f t="shared" si="5"/>
        <v>0.4</v>
      </c>
      <c r="I102" s="603">
        <v>0.45</v>
      </c>
      <c r="J102" s="591">
        <f t="shared" si="4"/>
        <v>2.1961800000000005</v>
      </c>
      <c r="K102" s="568"/>
    </row>
    <row r="103" spans="1:11" ht="18" customHeight="1">
      <c r="A103" s="568"/>
      <c r="B103" s="601" t="s">
        <v>1091</v>
      </c>
      <c r="C103" s="593" t="s">
        <v>1090</v>
      </c>
      <c r="D103" s="578">
        <v>1</v>
      </c>
      <c r="E103" s="579" t="s">
        <v>8</v>
      </c>
      <c r="F103" s="569">
        <v>1</v>
      </c>
      <c r="G103" s="602">
        <v>8.2010000000000005</v>
      </c>
      <c r="H103" s="591">
        <f t="shared" si="5"/>
        <v>0.4</v>
      </c>
      <c r="I103" s="603">
        <v>0.6</v>
      </c>
      <c r="J103" s="591">
        <f t="shared" si="4"/>
        <v>1.96824</v>
      </c>
      <c r="K103" s="568"/>
    </row>
    <row r="104" spans="1:11" ht="18" customHeight="1">
      <c r="A104" s="568"/>
      <c r="B104" s="601" t="s">
        <v>606</v>
      </c>
      <c r="C104" s="593"/>
      <c r="D104" s="578">
        <v>1</v>
      </c>
      <c r="E104" s="579" t="s">
        <v>8</v>
      </c>
      <c r="F104" s="569">
        <v>1</v>
      </c>
      <c r="G104" s="602">
        <v>5.4</v>
      </c>
      <c r="H104" s="603">
        <v>1.9</v>
      </c>
      <c r="I104" s="603">
        <v>0.75</v>
      </c>
      <c r="J104" s="591">
        <f t="shared" ref="J104" si="6">PRODUCT(D104:I104)</f>
        <v>7.6950000000000003</v>
      </c>
      <c r="K104" s="568"/>
    </row>
    <row r="105" spans="1:11" ht="18" customHeight="1">
      <c r="A105" s="568"/>
      <c r="B105" s="601" t="s">
        <v>1360</v>
      </c>
      <c r="C105" s="593"/>
      <c r="D105" s="578">
        <v>1</v>
      </c>
      <c r="E105" s="579" t="s">
        <v>8</v>
      </c>
      <c r="F105" s="569">
        <v>1</v>
      </c>
      <c r="G105" s="602">
        <v>3.5</v>
      </c>
      <c r="H105" s="603">
        <v>2.4</v>
      </c>
      <c r="I105" s="603">
        <v>0.75</v>
      </c>
      <c r="J105" s="591">
        <f t="shared" ref="J105" si="7">PRODUCT(D105:I105)</f>
        <v>6.3000000000000007</v>
      </c>
      <c r="K105" s="568"/>
    </row>
    <row r="106" spans="1:11">
      <c r="A106" s="568"/>
      <c r="B106" s="593" t="s">
        <v>1421</v>
      </c>
      <c r="C106" s="599"/>
      <c r="G106" s="600"/>
      <c r="H106" s="600"/>
      <c r="I106" s="600"/>
      <c r="J106" s="597"/>
      <c r="K106" s="581"/>
    </row>
    <row r="107" spans="1:11">
      <c r="A107" s="568"/>
      <c r="B107" s="593" t="s">
        <v>495</v>
      </c>
      <c r="C107" s="599"/>
      <c r="D107" s="578">
        <v>1</v>
      </c>
      <c r="E107" s="579" t="s">
        <v>8</v>
      </c>
      <c r="F107" s="569">
        <v>1</v>
      </c>
      <c r="G107" s="600">
        <v>6.7</v>
      </c>
      <c r="H107" s="600">
        <f>0.45+0.1+0.1</f>
        <v>0.65</v>
      </c>
      <c r="I107" s="600">
        <v>0.65</v>
      </c>
      <c r="J107" s="597">
        <f t="shared" ref="J107:J109" si="8">PRODUCT(D107:I107)</f>
        <v>2.8307500000000005</v>
      </c>
      <c r="K107" s="568"/>
    </row>
    <row r="108" spans="1:11">
      <c r="A108" s="568"/>
      <c r="B108" s="593"/>
      <c r="C108" s="599"/>
      <c r="D108" s="578">
        <v>1</v>
      </c>
      <c r="E108" s="579" t="s">
        <v>8</v>
      </c>
      <c r="F108" s="569">
        <v>1</v>
      </c>
      <c r="G108" s="600">
        <v>1.8</v>
      </c>
      <c r="H108" s="600">
        <f>0.2+0.1+0.1</f>
        <v>0.4</v>
      </c>
      <c r="I108" s="600">
        <v>0.65</v>
      </c>
      <c r="J108" s="597">
        <f t="shared" si="8"/>
        <v>0.46800000000000008</v>
      </c>
      <c r="K108" s="568"/>
    </row>
    <row r="109" spans="1:11">
      <c r="A109" s="568"/>
      <c r="B109" s="593"/>
      <c r="C109" s="599"/>
      <c r="D109" s="578">
        <v>1</v>
      </c>
      <c r="E109" s="579" t="s">
        <v>8</v>
      </c>
      <c r="F109" s="569">
        <v>1</v>
      </c>
      <c r="G109" s="600">
        <v>9.5</v>
      </c>
      <c r="H109" s="600">
        <f>0.3+0.1+0.1</f>
        <v>0.5</v>
      </c>
      <c r="I109" s="600">
        <v>0.65</v>
      </c>
      <c r="J109" s="597">
        <f t="shared" si="8"/>
        <v>3.0874999999999999</v>
      </c>
      <c r="K109" s="568"/>
    </row>
    <row r="110" spans="1:11" ht="18" customHeight="1">
      <c r="A110" s="568"/>
      <c r="B110" s="593"/>
      <c r="C110" s="599"/>
      <c r="G110" s="604"/>
      <c r="H110" s="600"/>
      <c r="I110" s="600"/>
      <c r="J110" s="605">
        <f>SUM(J11:J109)</f>
        <v>970.08822900000007</v>
      </c>
      <c r="K110" s="592"/>
    </row>
    <row r="111" spans="1:11" ht="18" customHeight="1">
      <c r="A111" s="568"/>
      <c r="B111" s="593"/>
      <c r="C111" s="599"/>
      <c r="G111" s="604"/>
      <c r="H111" s="600"/>
      <c r="I111" s="600"/>
      <c r="J111" s="605">
        <f>ROUNDUP(J110,0)</f>
        <v>971</v>
      </c>
      <c r="K111" s="592" t="s">
        <v>52</v>
      </c>
    </row>
    <row r="112" spans="1:11" ht="18" customHeight="1">
      <c r="A112" s="568" t="s">
        <v>70</v>
      </c>
      <c r="B112" s="576" t="s">
        <v>1361</v>
      </c>
      <c r="C112" s="593"/>
      <c r="G112" s="602"/>
      <c r="H112" s="603"/>
      <c r="I112" s="603"/>
      <c r="J112" s="591"/>
      <c r="K112" s="568"/>
    </row>
    <row r="113" spans="1:11" ht="18" customHeight="1">
      <c r="A113" s="568"/>
      <c r="B113" s="593" t="s">
        <v>1335</v>
      </c>
      <c r="C113" s="606"/>
      <c r="D113" s="578">
        <v>1</v>
      </c>
      <c r="E113" s="579" t="s">
        <v>8</v>
      </c>
      <c r="F113" s="569">
        <v>1</v>
      </c>
      <c r="G113" s="600">
        <f>10.11+0.1+0.1</f>
        <v>10.309999999999999</v>
      </c>
      <c r="H113" s="600">
        <f>4+0.1+0.1</f>
        <v>4.1999999999999993</v>
      </c>
      <c r="I113" s="600">
        <v>1.25</v>
      </c>
      <c r="J113" s="591">
        <f t="shared" ref="J113" si="9">PRODUCT(D113:I113)</f>
        <v>54.127499999999984</v>
      </c>
      <c r="K113" s="607"/>
    </row>
    <row r="114" spans="1:11" ht="18" customHeight="1">
      <c r="A114" s="568"/>
      <c r="B114" s="593" t="s">
        <v>1336</v>
      </c>
      <c r="C114" s="606"/>
      <c r="D114" s="578">
        <v>1</v>
      </c>
      <c r="E114" s="579" t="s">
        <v>8</v>
      </c>
      <c r="F114" s="569">
        <v>1</v>
      </c>
      <c r="G114" s="600">
        <f>3.4+0.15+0.15</f>
        <v>3.6999999999999997</v>
      </c>
      <c r="H114" s="600">
        <f>7.7+0.15+0.15</f>
        <v>8</v>
      </c>
      <c r="I114" s="600">
        <f>1.5+0.5</f>
        <v>2</v>
      </c>
      <c r="J114" s="591">
        <f>PRODUCT(D114:I114)</f>
        <v>59.199999999999996</v>
      </c>
      <c r="K114" s="607"/>
    </row>
    <row r="115" spans="1:11" ht="18" customHeight="1">
      <c r="A115" s="568"/>
      <c r="B115" s="593" t="s">
        <v>1337</v>
      </c>
      <c r="C115" s="606"/>
      <c r="D115" s="578">
        <v>1</v>
      </c>
      <c r="E115" s="579" t="s">
        <v>8</v>
      </c>
      <c r="F115" s="569">
        <v>1</v>
      </c>
      <c r="G115" s="600">
        <f>7.1+0.15+0.15</f>
        <v>7.4</v>
      </c>
      <c r="H115" s="600">
        <f>3+0.15+0.15</f>
        <v>3.3</v>
      </c>
      <c r="I115" s="600">
        <f>1.5+0.5</f>
        <v>2</v>
      </c>
      <c r="J115" s="591">
        <f>PRODUCT(D115:I115)</f>
        <v>48.839999999999996</v>
      </c>
      <c r="K115" s="607"/>
    </row>
    <row r="116" spans="1:11" ht="18" customHeight="1">
      <c r="A116" s="568"/>
      <c r="B116" s="593" t="s">
        <v>1362</v>
      </c>
      <c r="C116" s="608"/>
      <c r="D116" s="578">
        <v>1</v>
      </c>
      <c r="E116" s="579" t="s">
        <v>8</v>
      </c>
      <c r="F116" s="569">
        <v>1</v>
      </c>
      <c r="G116" s="600">
        <v>10.5</v>
      </c>
      <c r="H116" s="600">
        <v>3.7</v>
      </c>
      <c r="I116" s="600">
        <v>0.55000000000000004</v>
      </c>
      <c r="J116" s="597">
        <f t="shared" ref="J116" si="10">PRODUCT(D116:I116)</f>
        <v>21.367500000000003</v>
      </c>
      <c r="K116" s="568"/>
    </row>
    <row r="117" spans="1:11" ht="18" customHeight="1">
      <c r="A117" s="568"/>
      <c r="B117" s="593"/>
      <c r="C117" s="608"/>
      <c r="G117" s="604"/>
      <c r="H117" s="600"/>
      <c r="I117" s="600"/>
      <c r="J117" s="605">
        <f>SUM(J113:J116)</f>
        <v>183.535</v>
      </c>
      <c r="K117" s="592"/>
    </row>
    <row r="118" spans="1:11" ht="18" customHeight="1">
      <c r="A118" s="568"/>
      <c r="B118" s="593"/>
      <c r="C118" s="608"/>
      <c r="G118" s="604"/>
      <c r="H118" s="600"/>
      <c r="I118" s="600"/>
      <c r="J118" s="605">
        <f>ROUNDUP(J117,0)</f>
        <v>184</v>
      </c>
      <c r="K118" s="592" t="s">
        <v>52</v>
      </c>
    </row>
    <row r="119" spans="1:11">
      <c r="A119" s="568"/>
      <c r="B119" s="584" t="str">
        <f>'BOQ-C&amp;I'!C11</f>
        <v>2 to 3m depth.</v>
      </c>
      <c r="C119" s="609"/>
      <c r="G119" s="604"/>
      <c r="H119" s="600"/>
      <c r="I119" s="600"/>
      <c r="J119" s="605"/>
      <c r="K119" s="592"/>
    </row>
    <row r="120" spans="1:11" ht="36">
      <c r="A120" s="568" t="s">
        <v>67</v>
      </c>
      <c r="B120" s="593" t="s">
        <v>1367</v>
      </c>
      <c r="C120" s="589"/>
      <c r="G120" s="602"/>
      <c r="H120" s="603"/>
      <c r="I120" s="603"/>
      <c r="J120" s="605">
        <v>10</v>
      </c>
      <c r="K120" s="592"/>
    </row>
    <row r="121" spans="1:11">
      <c r="A121" s="568"/>
      <c r="B121" s="610" t="s">
        <v>28</v>
      </c>
      <c r="C121" s="589"/>
      <c r="G121" s="602"/>
      <c r="H121" s="603"/>
      <c r="I121" s="603"/>
      <c r="J121" s="605">
        <f>ROUNDUP(J120,0)</f>
        <v>10</v>
      </c>
      <c r="K121" s="592" t="s">
        <v>52</v>
      </c>
    </row>
    <row r="122" spans="1:11">
      <c r="A122" s="568"/>
      <c r="B122" s="610"/>
      <c r="C122" s="589"/>
      <c r="G122" s="602"/>
      <c r="H122" s="603"/>
      <c r="I122" s="603"/>
      <c r="J122" s="605"/>
      <c r="K122" s="592"/>
    </row>
    <row r="123" spans="1:11">
      <c r="A123" s="568" t="s">
        <v>124</v>
      </c>
      <c r="B123" s="611" t="s">
        <v>1368</v>
      </c>
      <c r="C123" s="589"/>
      <c r="G123" s="602"/>
      <c r="H123" s="603"/>
      <c r="I123" s="603"/>
      <c r="J123" s="605"/>
      <c r="K123" s="592"/>
    </row>
    <row r="124" spans="1:11">
      <c r="A124" s="568"/>
      <c r="B124" s="593" t="s">
        <v>1336</v>
      </c>
      <c r="C124" s="589"/>
      <c r="D124" s="578">
        <v>1</v>
      </c>
      <c r="E124" s="579" t="s">
        <v>8</v>
      </c>
      <c r="F124" s="569">
        <v>1</v>
      </c>
      <c r="G124" s="600">
        <v>3.7</v>
      </c>
      <c r="H124" s="600">
        <v>8</v>
      </c>
      <c r="I124" s="600">
        <v>1.1000000000000001</v>
      </c>
      <c r="J124" s="597">
        <f t="shared" ref="J124:J125" si="11">PRODUCT(D124:I124)</f>
        <v>32.56</v>
      </c>
      <c r="K124" s="592"/>
    </row>
    <row r="125" spans="1:11">
      <c r="A125" s="568"/>
      <c r="B125" s="593" t="s">
        <v>1337</v>
      </c>
      <c r="C125" s="606"/>
      <c r="D125" s="578">
        <v>1</v>
      </c>
      <c r="E125" s="579" t="s">
        <v>8</v>
      </c>
      <c r="F125" s="569">
        <v>1</v>
      </c>
      <c r="G125" s="600">
        <v>7.4</v>
      </c>
      <c r="H125" s="600">
        <v>3.3</v>
      </c>
      <c r="I125" s="600">
        <v>1</v>
      </c>
      <c r="J125" s="597">
        <f t="shared" si="11"/>
        <v>24.419999999999998</v>
      </c>
      <c r="K125" s="592"/>
    </row>
    <row r="126" spans="1:11">
      <c r="A126" s="568"/>
      <c r="B126" s="593"/>
      <c r="C126" s="589"/>
      <c r="G126" s="590"/>
      <c r="H126" s="591"/>
      <c r="I126" s="591"/>
      <c r="J126" s="605">
        <f>SUM(J124:J125)</f>
        <v>56.980000000000004</v>
      </c>
      <c r="K126" s="592"/>
    </row>
    <row r="127" spans="1:11">
      <c r="A127" s="568"/>
      <c r="B127" s="610" t="s">
        <v>28</v>
      </c>
      <c r="C127" s="589"/>
      <c r="G127" s="590"/>
      <c r="H127" s="591"/>
      <c r="I127" s="591"/>
      <c r="J127" s="605">
        <f>ROUNDUP(J126,0)</f>
        <v>57</v>
      </c>
      <c r="K127" s="592" t="s">
        <v>52</v>
      </c>
    </row>
    <row r="128" spans="1:11">
      <c r="A128" s="568"/>
      <c r="B128" s="610"/>
      <c r="C128" s="589"/>
      <c r="G128" s="590"/>
      <c r="H128" s="591"/>
      <c r="I128" s="591"/>
      <c r="J128" s="605"/>
      <c r="K128" s="592"/>
    </row>
    <row r="129" spans="1:11">
      <c r="A129" s="568" t="s">
        <v>528</v>
      </c>
      <c r="B129" s="584" t="str">
        <f>'BOQ-C&amp;I'!C14</f>
        <v>3 to 4m depth.</v>
      </c>
      <c r="C129" s="589"/>
      <c r="G129" s="590"/>
      <c r="H129" s="591"/>
      <c r="I129" s="591"/>
      <c r="J129" s="605"/>
      <c r="K129" s="592"/>
    </row>
    <row r="130" spans="1:11">
      <c r="A130" s="568"/>
      <c r="B130" s="593" t="s">
        <v>1337</v>
      </c>
      <c r="C130" s="589"/>
      <c r="D130" s="578">
        <v>1</v>
      </c>
      <c r="E130" s="579" t="s">
        <v>8</v>
      </c>
      <c r="F130" s="569">
        <v>1</v>
      </c>
      <c r="G130" s="600">
        <v>7.4</v>
      </c>
      <c r="H130" s="600">
        <v>3.3</v>
      </c>
      <c r="I130" s="591">
        <v>1</v>
      </c>
      <c r="J130" s="597">
        <f t="shared" ref="J130" si="12">PRODUCT(D130:I130)</f>
        <v>24.419999999999998</v>
      </c>
      <c r="K130" s="592"/>
    </row>
    <row r="131" spans="1:11">
      <c r="A131" s="568"/>
      <c r="B131" s="593"/>
      <c r="C131" s="589"/>
      <c r="G131" s="604"/>
      <c r="H131" s="600"/>
      <c r="I131" s="591"/>
      <c r="J131" s="605">
        <f>ROUNDUP(J130,0)</f>
        <v>25</v>
      </c>
      <c r="K131" s="592" t="s">
        <v>52</v>
      </c>
    </row>
    <row r="132" spans="1:11">
      <c r="A132" s="568" t="s">
        <v>578</v>
      </c>
      <c r="B132" s="584" t="str">
        <f>'BOQ-C&amp;I'!C16</f>
        <v>4 to 5m depth.</v>
      </c>
      <c r="C132" s="589"/>
      <c r="G132" s="590"/>
      <c r="H132" s="591"/>
      <c r="I132" s="591"/>
      <c r="J132" s="605"/>
      <c r="K132" s="592"/>
    </row>
    <row r="133" spans="1:11">
      <c r="A133" s="568"/>
      <c r="B133" s="593" t="s">
        <v>1337</v>
      </c>
      <c r="C133" s="589"/>
      <c r="D133" s="578">
        <v>1</v>
      </c>
      <c r="E133" s="579" t="s">
        <v>8</v>
      </c>
      <c r="F133" s="569">
        <v>1</v>
      </c>
      <c r="G133" s="600">
        <v>7.4</v>
      </c>
      <c r="H133" s="600">
        <v>3.3</v>
      </c>
      <c r="I133" s="591">
        <v>1</v>
      </c>
      <c r="J133" s="597">
        <f t="shared" ref="J133" si="13">PRODUCT(D133:I133)</f>
        <v>24.419999999999998</v>
      </c>
      <c r="K133" s="592"/>
    </row>
    <row r="134" spans="1:11">
      <c r="A134" s="568"/>
      <c r="B134" s="610"/>
      <c r="C134" s="589"/>
      <c r="G134" s="590"/>
      <c r="H134" s="591"/>
      <c r="I134" s="591"/>
      <c r="J134" s="605">
        <f>ROUNDUP(J133,0)</f>
        <v>25</v>
      </c>
      <c r="K134" s="592" t="s">
        <v>52</v>
      </c>
    </row>
    <row r="135" spans="1:11" s="575" customFormat="1" ht="200.25" customHeight="1">
      <c r="A135" s="583">
        <f>+A5+1</f>
        <v>2</v>
      </c>
      <c r="B135" s="723" t="str">
        <f>'BOQ-C&amp;I'!C18</f>
        <v>Supplying and filling in foundations and the area wherever specified with 'approved material' good quality filling materials in plinths, area development etc. wherever specified in layers of not exceeding 150 mm thick including clearing of jungle, bushes, breaking clods, storing, transportation, double handling, watering, compacting each layer with vibratory compactor and at un-accessible places with wooden/steel rammers to achieve 95% proctor density at optimum moisture content, all leads and lifts, bailing/ pumping out of water to keep site dry while backfilling complete as directed.Rate to include materials, loading, unloading, transportation, plant and machinery, hire and fuel charges for tools and plants and other incidental charges, royalties, seignorage and taking statutory approvals as necessary to carry out the work as complete with all respects complying with relevant standard specification, as directed by the   departmental officers.</v>
      </c>
      <c r="C135" s="723"/>
      <c r="D135" s="723"/>
      <c r="E135" s="723"/>
      <c r="F135" s="723"/>
      <c r="G135" s="723"/>
      <c r="H135" s="723"/>
      <c r="I135" s="723"/>
      <c r="J135" s="723"/>
      <c r="K135" s="723"/>
    </row>
    <row r="136" spans="1:11">
      <c r="A136" s="568" t="s">
        <v>71</v>
      </c>
      <c r="B136" s="584" t="str">
        <f>'BOQ-C&amp;I'!C19</f>
        <v>Filling M.Sand</v>
      </c>
      <c r="C136" s="577"/>
      <c r="G136" s="612"/>
      <c r="H136" s="598"/>
      <c r="I136" s="598"/>
      <c r="J136" s="598"/>
      <c r="K136" s="581"/>
    </row>
    <row r="137" spans="1:11">
      <c r="A137" s="568"/>
      <c r="B137" s="593" t="s">
        <v>648</v>
      </c>
      <c r="C137" s="589"/>
      <c r="G137" s="590"/>
      <c r="H137" s="591"/>
      <c r="I137" s="591"/>
      <c r="J137" s="591"/>
      <c r="K137" s="592"/>
    </row>
    <row r="138" spans="1:11">
      <c r="A138" s="568"/>
      <c r="B138" s="593" t="s">
        <v>649</v>
      </c>
      <c r="C138" s="589"/>
      <c r="D138" s="578">
        <v>1</v>
      </c>
      <c r="E138" s="579" t="s">
        <v>8</v>
      </c>
      <c r="F138" s="569">
        <v>5</v>
      </c>
      <c r="G138" s="594">
        <f>3.3+0.2</f>
        <v>3.5</v>
      </c>
      <c r="H138" s="595">
        <f>2.3+0.2</f>
        <v>2.5</v>
      </c>
      <c r="I138" s="596">
        <v>0.1</v>
      </c>
      <c r="J138" s="597">
        <f>PRODUCT(D138:I138)</f>
        <v>4.375</v>
      </c>
      <c r="K138" s="592"/>
    </row>
    <row r="139" spans="1:11">
      <c r="A139" s="568"/>
      <c r="B139" s="593" t="s">
        <v>650</v>
      </c>
      <c r="C139" s="589"/>
      <c r="D139" s="578">
        <v>1</v>
      </c>
      <c r="E139" s="579" t="s">
        <v>8</v>
      </c>
      <c r="F139" s="569">
        <v>2</v>
      </c>
      <c r="G139" s="594">
        <f>2.55+0.2</f>
        <v>2.75</v>
      </c>
      <c r="H139" s="594">
        <f>2.55+0.2</f>
        <v>2.75</v>
      </c>
      <c r="I139" s="596">
        <v>0.1</v>
      </c>
      <c r="J139" s="597">
        <f t="shared" ref="J139:J167" si="14">PRODUCT(D139:I139)</f>
        <v>1.5125000000000002</v>
      </c>
      <c r="K139" s="592"/>
    </row>
    <row r="140" spans="1:11">
      <c r="A140" s="568"/>
      <c r="B140" s="593" t="s">
        <v>651</v>
      </c>
      <c r="C140" s="589"/>
      <c r="D140" s="578">
        <v>1</v>
      </c>
      <c r="E140" s="579" t="s">
        <v>8</v>
      </c>
      <c r="F140" s="569">
        <v>7</v>
      </c>
      <c r="G140" s="598">
        <f>2.8+0.2</f>
        <v>3</v>
      </c>
      <c r="H140" s="598">
        <f>2.1+0.2</f>
        <v>2.3000000000000003</v>
      </c>
      <c r="I140" s="596">
        <v>0.1</v>
      </c>
      <c r="J140" s="597">
        <f t="shared" si="14"/>
        <v>4.830000000000001</v>
      </c>
      <c r="K140" s="592"/>
    </row>
    <row r="141" spans="1:11">
      <c r="A141" s="568"/>
      <c r="B141" s="593" t="s">
        <v>652</v>
      </c>
      <c r="C141" s="589"/>
      <c r="D141" s="578">
        <v>1</v>
      </c>
      <c r="E141" s="579" t="s">
        <v>8</v>
      </c>
      <c r="F141" s="569">
        <v>1</v>
      </c>
      <c r="G141" s="594">
        <f>3.2+0.2</f>
        <v>3.4000000000000004</v>
      </c>
      <c r="H141" s="594">
        <f>2.5+0.2</f>
        <v>2.7</v>
      </c>
      <c r="I141" s="596">
        <v>0.1</v>
      </c>
      <c r="J141" s="597">
        <f t="shared" si="14"/>
        <v>0.91800000000000015</v>
      </c>
      <c r="K141" s="592"/>
    </row>
    <row r="142" spans="1:11">
      <c r="A142" s="568"/>
      <c r="B142" s="593" t="s">
        <v>653</v>
      </c>
      <c r="C142" s="589"/>
      <c r="D142" s="578">
        <v>1</v>
      </c>
      <c r="E142" s="579" t="s">
        <v>8</v>
      </c>
      <c r="F142" s="569">
        <v>1</v>
      </c>
      <c r="G142" s="594">
        <f>2.5+0.2</f>
        <v>2.7</v>
      </c>
      <c r="H142" s="594">
        <f>2.5+0.2</f>
        <v>2.7</v>
      </c>
      <c r="I142" s="596">
        <v>0.1</v>
      </c>
      <c r="J142" s="597">
        <f t="shared" si="14"/>
        <v>0.72900000000000009</v>
      </c>
      <c r="K142" s="592"/>
    </row>
    <row r="143" spans="1:11">
      <c r="A143" s="568"/>
      <c r="B143" s="593" t="s">
        <v>654</v>
      </c>
      <c r="C143" s="589"/>
      <c r="D143" s="578">
        <v>1</v>
      </c>
      <c r="E143" s="579" t="s">
        <v>8</v>
      </c>
      <c r="F143" s="569">
        <v>2</v>
      </c>
      <c r="G143" s="594">
        <f>1.85+0.2</f>
        <v>2.0500000000000003</v>
      </c>
      <c r="H143" s="594">
        <f>1.45+0.2</f>
        <v>1.65</v>
      </c>
      <c r="I143" s="596">
        <v>0.1</v>
      </c>
      <c r="J143" s="597">
        <f t="shared" si="14"/>
        <v>0.6765000000000001</v>
      </c>
      <c r="K143" s="592"/>
    </row>
    <row r="144" spans="1:11">
      <c r="A144" s="568"/>
      <c r="B144" s="593" t="s">
        <v>655</v>
      </c>
      <c r="C144" s="589"/>
      <c r="D144" s="578">
        <v>1</v>
      </c>
      <c r="E144" s="579" t="s">
        <v>8</v>
      </c>
      <c r="F144" s="569">
        <v>1</v>
      </c>
      <c r="G144" s="594">
        <f>3.2+0.2</f>
        <v>3.4000000000000004</v>
      </c>
      <c r="H144" s="594">
        <f>2.6+0.2</f>
        <v>2.8000000000000003</v>
      </c>
      <c r="I144" s="596">
        <v>0.1</v>
      </c>
      <c r="J144" s="597">
        <f t="shared" si="14"/>
        <v>0.95200000000000018</v>
      </c>
      <c r="K144" s="592"/>
    </row>
    <row r="145" spans="1:11">
      <c r="A145" s="568"/>
      <c r="B145" s="593" t="s">
        <v>1006</v>
      </c>
      <c r="C145" s="589"/>
      <c r="D145" s="578">
        <v>1</v>
      </c>
      <c r="E145" s="579" t="s">
        <v>8</v>
      </c>
      <c r="F145" s="569">
        <v>2</v>
      </c>
      <c r="G145" s="594">
        <f>2.5+0.2</f>
        <v>2.7</v>
      </c>
      <c r="H145" s="594">
        <f>1.9+0.2</f>
        <v>2.1</v>
      </c>
      <c r="I145" s="596">
        <v>0.1</v>
      </c>
      <c r="J145" s="597">
        <f t="shared" si="14"/>
        <v>1.1340000000000001</v>
      </c>
      <c r="K145" s="592"/>
    </row>
    <row r="146" spans="1:11">
      <c r="A146" s="568"/>
      <c r="B146" s="593" t="s">
        <v>1007</v>
      </c>
      <c r="C146" s="589"/>
      <c r="D146" s="578">
        <v>1</v>
      </c>
      <c r="E146" s="579" t="s">
        <v>8</v>
      </c>
      <c r="F146" s="569">
        <v>1</v>
      </c>
      <c r="G146" s="594">
        <f>3.65+0.2</f>
        <v>3.85</v>
      </c>
      <c r="H146" s="594">
        <f>2.65+0.2</f>
        <v>2.85</v>
      </c>
      <c r="I146" s="596">
        <v>0.1</v>
      </c>
      <c r="J146" s="597">
        <f t="shared" si="14"/>
        <v>1.0972500000000001</v>
      </c>
      <c r="K146" s="592"/>
    </row>
    <row r="147" spans="1:11">
      <c r="A147" s="568"/>
      <c r="B147" s="593" t="s">
        <v>1008</v>
      </c>
      <c r="C147" s="589"/>
      <c r="D147" s="578">
        <v>1</v>
      </c>
      <c r="E147" s="579" t="s">
        <v>8</v>
      </c>
      <c r="F147" s="569">
        <v>1</v>
      </c>
      <c r="G147" s="594">
        <f>2.5+0.2</f>
        <v>2.7</v>
      </c>
      <c r="H147" s="594">
        <f>1.4+0.2</f>
        <v>1.5999999999999999</v>
      </c>
      <c r="I147" s="596">
        <v>0.1</v>
      </c>
      <c r="J147" s="597">
        <f t="shared" si="14"/>
        <v>0.43200000000000005</v>
      </c>
      <c r="K147" s="592"/>
    </row>
    <row r="148" spans="1:11">
      <c r="A148" s="568"/>
      <c r="B148" s="593" t="s">
        <v>1009</v>
      </c>
      <c r="C148" s="589"/>
      <c r="D148" s="578">
        <v>1</v>
      </c>
      <c r="E148" s="579" t="s">
        <v>8</v>
      </c>
      <c r="F148" s="569">
        <v>6</v>
      </c>
      <c r="G148" s="594">
        <f>1.5+0.2</f>
        <v>1.7</v>
      </c>
      <c r="H148" s="594">
        <f>1.2+0.2</f>
        <v>1.4</v>
      </c>
      <c r="I148" s="596">
        <v>0.1</v>
      </c>
      <c r="J148" s="597">
        <f t="shared" si="14"/>
        <v>1.4279999999999999</v>
      </c>
      <c r="K148" s="592"/>
    </row>
    <row r="149" spans="1:11">
      <c r="A149" s="568"/>
      <c r="B149" s="593" t="s">
        <v>1010</v>
      </c>
      <c r="C149" s="589"/>
      <c r="D149" s="578">
        <v>1</v>
      </c>
      <c r="E149" s="579" t="s">
        <v>8</v>
      </c>
      <c r="F149" s="569">
        <v>1</v>
      </c>
      <c r="G149" s="594">
        <f>2.9+0.2</f>
        <v>3.1</v>
      </c>
      <c r="H149" s="594">
        <f>2.7+0.2</f>
        <v>2.9000000000000004</v>
      </c>
      <c r="I149" s="596">
        <v>0.1</v>
      </c>
      <c r="J149" s="597">
        <f t="shared" si="14"/>
        <v>0.89900000000000024</v>
      </c>
      <c r="K149" s="592"/>
    </row>
    <row r="150" spans="1:11">
      <c r="A150" s="568"/>
      <c r="B150" s="593" t="s">
        <v>1011</v>
      </c>
      <c r="C150" s="589"/>
      <c r="D150" s="578">
        <v>1</v>
      </c>
      <c r="E150" s="579" t="s">
        <v>8</v>
      </c>
      <c r="F150" s="569">
        <v>2</v>
      </c>
      <c r="G150" s="594">
        <f>2.2+0.2</f>
        <v>2.4000000000000004</v>
      </c>
      <c r="H150" s="594">
        <f>1.65+0.2</f>
        <v>1.8499999999999999</v>
      </c>
      <c r="I150" s="596">
        <v>0.1</v>
      </c>
      <c r="J150" s="597">
        <f t="shared" si="14"/>
        <v>0.88800000000000012</v>
      </c>
      <c r="K150" s="592"/>
    </row>
    <row r="151" spans="1:11">
      <c r="A151" s="568"/>
      <c r="B151" s="593" t="s">
        <v>1012</v>
      </c>
      <c r="C151" s="589"/>
      <c r="D151" s="578">
        <v>1</v>
      </c>
      <c r="E151" s="579" t="s">
        <v>8</v>
      </c>
      <c r="F151" s="569">
        <v>2</v>
      </c>
      <c r="G151" s="594">
        <f>2.15+0.2</f>
        <v>2.35</v>
      </c>
      <c r="H151" s="594">
        <f>2.15+0.2</f>
        <v>2.35</v>
      </c>
      <c r="I151" s="596">
        <v>0.1</v>
      </c>
      <c r="J151" s="597">
        <f t="shared" si="14"/>
        <v>1.1045000000000003</v>
      </c>
      <c r="K151" s="592"/>
    </row>
    <row r="152" spans="1:11">
      <c r="A152" s="568"/>
      <c r="B152" s="593" t="s">
        <v>1013</v>
      </c>
      <c r="C152" s="589"/>
      <c r="D152" s="578">
        <v>1</v>
      </c>
      <c r="E152" s="579" t="s">
        <v>8</v>
      </c>
      <c r="F152" s="569">
        <v>2</v>
      </c>
      <c r="G152" s="594">
        <f>1.75+0.2</f>
        <v>1.95</v>
      </c>
      <c r="H152" s="594">
        <f>1.55+0.2</f>
        <v>1.75</v>
      </c>
      <c r="I152" s="596">
        <v>0.1</v>
      </c>
      <c r="J152" s="597">
        <f t="shared" si="14"/>
        <v>0.68250000000000011</v>
      </c>
      <c r="K152" s="592"/>
    </row>
    <row r="153" spans="1:11">
      <c r="A153" s="568"/>
      <c r="B153" s="593" t="s">
        <v>1014</v>
      </c>
      <c r="C153" s="589"/>
      <c r="D153" s="578">
        <v>1</v>
      </c>
      <c r="E153" s="579" t="s">
        <v>8</v>
      </c>
      <c r="F153" s="569">
        <v>2</v>
      </c>
      <c r="G153" s="594">
        <f>2.35+0.2</f>
        <v>2.5500000000000003</v>
      </c>
      <c r="H153" s="594">
        <f>2.35+0.2</f>
        <v>2.5500000000000003</v>
      </c>
      <c r="I153" s="596">
        <v>0.1</v>
      </c>
      <c r="J153" s="597">
        <f t="shared" si="14"/>
        <v>1.3005000000000004</v>
      </c>
      <c r="K153" s="592"/>
    </row>
    <row r="154" spans="1:11">
      <c r="A154" s="568"/>
      <c r="B154" s="593" t="s">
        <v>1015</v>
      </c>
      <c r="C154" s="589"/>
      <c r="D154" s="578">
        <v>1</v>
      </c>
      <c r="E154" s="579" t="s">
        <v>8</v>
      </c>
      <c r="F154" s="569">
        <v>1</v>
      </c>
      <c r="G154" s="594">
        <f>3+0.2</f>
        <v>3.2</v>
      </c>
      <c r="H154" s="594">
        <f>2.5+0.2</f>
        <v>2.7</v>
      </c>
      <c r="I154" s="596">
        <v>0.1</v>
      </c>
      <c r="J154" s="597">
        <f t="shared" si="14"/>
        <v>0.8640000000000001</v>
      </c>
      <c r="K154" s="592"/>
    </row>
    <row r="155" spans="1:11">
      <c r="A155" s="568"/>
      <c r="B155" s="593" t="s">
        <v>1016</v>
      </c>
      <c r="C155" s="589"/>
      <c r="D155" s="578">
        <v>1</v>
      </c>
      <c r="E155" s="579" t="s">
        <v>8</v>
      </c>
      <c r="F155" s="569">
        <v>4</v>
      </c>
      <c r="G155" s="594">
        <f>1+0.2</f>
        <v>1.2</v>
      </c>
      <c r="H155" s="594">
        <f>1+0.2</f>
        <v>1.2</v>
      </c>
      <c r="I155" s="596">
        <v>0.1</v>
      </c>
      <c r="J155" s="597">
        <f t="shared" si="14"/>
        <v>0.57599999999999996</v>
      </c>
      <c r="K155" s="592"/>
    </row>
    <row r="156" spans="1:11">
      <c r="A156" s="568"/>
      <c r="B156" s="593" t="s">
        <v>656</v>
      </c>
      <c r="C156" s="589"/>
      <c r="D156" s="578">
        <v>1</v>
      </c>
      <c r="E156" s="579" t="s">
        <v>8</v>
      </c>
      <c r="F156" s="569">
        <v>1</v>
      </c>
      <c r="G156" s="598">
        <f>5+0.2</f>
        <v>5.2</v>
      </c>
      <c r="H156" s="598">
        <f>1.75+0.2</f>
        <v>1.95</v>
      </c>
      <c r="I156" s="596">
        <v>0.1</v>
      </c>
      <c r="J156" s="597">
        <f t="shared" si="14"/>
        <v>1.014</v>
      </c>
      <c r="K156" s="592"/>
    </row>
    <row r="157" spans="1:11">
      <c r="A157" s="568"/>
      <c r="B157" s="593" t="s">
        <v>657</v>
      </c>
      <c r="C157" s="589"/>
      <c r="D157" s="578">
        <v>1</v>
      </c>
      <c r="E157" s="579" t="s">
        <v>8</v>
      </c>
      <c r="F157" s="569">
        <v>1</v>
      </c>
      <c r="G157" s="594">
        <f>4.9+0.2</f>
        <v>5.1000000000000005</v>
      </c>
      <c r="H157" s="594">
        <f>2.9+0.2</f>
        <v>3.1</v>
      </c>
      <c r="I157" s="596">
        <v>0.1</v>
      </c>
      <c r="J157" s="597">
        <f t="shared" si="14"/>
        <v>1.5810000000000004</v>
      </c>
      <c r="K157" s="592"/>
    </row>
    <row r="158" spans="1:11">
      <c r="A158" s="568"/>
      <c r="B158" s="593" t="s">
        <v>658</v>
      </c>
      <c r="C158" s="589"/>
      <c r="D158" s="578">
        <v>1</v>
      </c>
      <c r="E158" s="579" t="s">
        <v>8</v>
      </c>
      <c r="F158" s="569">
        <v>1</v>
      </c>
      <c r="G158" s="594">
        <f>7.65+0.2</f>
        <v>7.8500000000000005</v>
      </c>
      <c r="H158" s="594">
        <f>3.3+0.2</f>
        <v>3.5</v>
      </c>
      <c r="I158" s="596">
        <v>0.1</v>
      </c>
      <c r="J158" s="597">
        <f t="shared" si="14"/>
        <v>2.7475000000000005</v>
      </c>
      <c r="K158" s="592"/>
    </row>
    <row r="159" spans="1:11">
      <c r="A159" s="568"/>
      <c r="B159" s="593" t="s">
        <v>1017</v>
      </c>
      <c r="C159" s="589"/>
      <c r="D159" s="578">
        <v>1</v>
      </c>
      <c r="E159" s="579" t="s">
        <v>8</v>
      </c>
      <c r="F159" s="569">
        <v>1</v>
      </c>
      <c r="G159" s="594">
        <f>5.5+0.2</f>
        <v>5.7</v>
      </c>
      <c r="H159" s="594">
        <f>2.8+0.2</f>
        <v>3</v>
      </c>
      <c r="I159" s="596">
        <v>0.1</v>
      </c>
      <c r="J159" s="597">
        <f t="shared" si="14"/>
        <v>1.7100000000000002</v>
      </c>
      <c r="K159" s="592"/>
    </row>
    <row r="160" spans="1:11">
      <c r="A160" s="568"/>
      <c r="B160" s="593" t="s">
        <v>1018</v>
      </c>
      <c r="C160" s="589"/>
      <c r="D160" s="578">
        <v>1</v>
      </c>
      <c r="E160" s="579" t="s">
        <v>8</v>
      </c>
      <c r="F160" s="569">
        <v>1</v>
      </c>
      <c r="G160" s="596">
        <f>5.85+0.2</f>
        <v>6.05</v>
      </c>
      <c r="H160" s="596">
        <f>2.45+0.2</f>
        <v>2.6500000000000004</v>
      </c>
      <c r="I160" s="596">
        <v>0.1</v>
      </c>
      <c r="J160" s="597">
        <f t="shared" si="14"/>
        <v>1.6032500000000003</v>
      </c>
      <c r="K160" s="592"/>
    </row>
    <row r="161" spans="1:11">
      <c r="A161" s="568"/>
      <c r="B161" s="581" t="s">
        <v>1019</v>
      </c>
      <c r="C161" s="581"/>
      <c r="D161" s="578">
        <v>1</v>
      </c>
      <c r="E161" s="579" t="s">
        <v>8</v>
      </c>
      <c r="F161" s="569">
        <v>1</v>
      </c>
      <c r="G161" s="596">
        <f>5.8+0.2</f>
        <v>6</v>
      </c>
      <c r="H161" s="596">
        <f>5.7+0.2</f>
        <v>5.9</v>
      </c>
      <c r="I161" s="596">
        <v>0.1</v>
      </c>
      <c r="J161" s="597">
        <f t="shared" si="14"/>
        <v>3.5400000000000009</v>
      </c>
      <c r="K161" s="592"/>
    </row>
    <row r="162" spans="1:11">
      <c r="A162" s="568"/>
      <c r="B162" s="581" t="s">
        <v>1020</v>
      </c>
      <c r="C162" s="581"/>
      <c r="D162" s="578">
        <v>1</v>
      </c>
      <c r="E162" s="579" t="s">
        <v>8</v>
      </c>
      <c r="F162" s="569">
        <v>1</v>
      </c>
      <c r="G162" s="715">
        <f>30398772/1000000</f>
        <v>30.398772000000001</v>
      </c>
      <c r="H162" s="716"/>
      <c r="I162" s="596">
        <v>0.1</v>
      </c>
      <c r="J162" s="597">
        <f t="shared" si="14"/>
        <v>3.0398772000000003</v>
      </c>
      <c r="K162" s="592"/>
    </row>
    <row r="163" spans="1:11">
      <c r="A163" s="568"/>
      <c r="B163" s="581" t="s">
        <v>1021</v>
      </c>
      <c r="C163" s="581"/>
      <c r="D163" s="578">
        <v>1</v>
      </c>
      <c r="E163" s="579" t="s">
        <v>8</v>
      </c>
      <c r="F163" s="569">
        <v>1</v>
      </c>
      <c r="G163" s="603">
        <f>5.025+0.2</f>
        <v>5.2250000000000005</v>
      </c>
      <c r="H163" s="603">
        <f>4.125+0.2</f>
        <v>4.3250000000000002</v>
      </c>
      <c r="I163" s="596">
        <v>0.1</v>
      </c>
      <c r="J163" s="597">
        <f t="shared" si="14"/>
        <v>2.2598125000000002</v>
      </c>
      <c r="K163" s="592"/>
    </row>
    <row r="164" spans="1:11">
      <c r="A164" s="568"/>
      <c r="B164" s="581" t="s">
        <v>1421</v>
      </c>
      <c r="C164" s="581"/>
      <c r="G164" s="603"/>
      <c r="H164" s="603"/>
      <c r="I164" s="596"/>
      <c r="J164" s="597"/>
      <c r="K164" s="592"/>
    </row>
    <row r="165" spans="1:11">
      <c r="A165" s="568"/>
      <c r="B165" s="593" t="s">
        <v>650</v>
      </c>
      <c r="C165" s="599"/>
      <c r="D165" s="578">
        <v>1</v>
      </c>
      <c r="E165" s="579" t="s">
        <v>8</v>
      </c>
      <c r="F165" s="569">
        <v>2</v>
      </c>
      <c r="G165" s="600">
        <v>1.7</v>
      </c>
      <c r="H165" s="600">
        <v>1.7</v>
      </c>
      <c r="I165" s="600">
        <v>0.1</v>
      </c>
      <c r="J165" s="597">
        <f t="shared" si="14"/>
        <v>0.57799999999999996</v>
      </c>
      <c r="K165" s="568"/>
    </row>
    <row r="166" spans="1:11">
      <c r="A166" s="568"/>
      <c r="B166" s="593" t="s">
        <v>652</v>
      </c>
      <c r="C166" s="599"/>
      <c r="D166" s="578">
        <v>1</v>
      </c>
      <c r="E166" s="579" t="s">
        <v>8</v>
      </c>
      <c r="F166" s="569">
        <v>1</v>
      </c>
      <c r="G166" s="600">
        <v>1.4</v>
      </c>
      <c r="H166" s="600">
        <v>1.4</v>
      </c>
      <c r="I166" s="600">
        <v>0.1</v>
      </c>
      <c r="J166" s="597">
        <f t="shared" si="14"/>
        <v>0.19599999999999998</v>
      </c>
      <c r="K166" s="568"/>
    </row>
    <row r="167" spans="1:11">
      <c r="A167" s="568"/>
      <c r="B167" s="593" t="s">
        <v>653</v>
      </c>
      <c r="C167" s="599"/>
      <c r="D167" s="578">
        <v>1</v>
      </c>
      <c r="E167" s="579" t="s">
        <v>8</v>
      </c>
      <c r="F167" s="569">
        <v>2</v>
      </c>
      <c r="G167" s="600">
        <v>2</v>
      </c>
      <c r="H167" s="600">
        <v>2.7</v>
      </c>
      <c r="I167" s="600">
        <v>0.1</v>
      </c>
      <c r="J167" s="597">
        <f t="shared" si="14"/>
        <v>1.08</v>
      </c>
      <c r="K167" s="568"/>
    </row>
    <row r="168" spans="1:11">
      <c r="A168" s="568"/>
      <c r="B168" s="584" t="s">
        <v>50</v>
      </c>
      <c r="C168" s="589"/>
      <c r="G168" s="590"/>
      <c r="H168" s="591"/>
      <c r="I168" s="591"/>
      <c r="J168" s="591"/>
      <c r="K168" s="592"/>
    </row>
    <row r="169" spans="1:11">
      <c r="A169" s="568"/>
      <c r="B169" s="601" t="s">
        <v>571</v>
      </c>
      <c r="C169" s="593" t="s">
        <v>1022</v>
      </c>
      <c r="D169" s="578">
        <v>1</v>
      </c>
      <c r="E169" s="579" t="s">
        <v>8</v>
      </c>
      <c r="F169" s="569">
        <v>1</v>
      </c>
      <c r="G169" s="590">
        <v>27.8</v>
      </c>
      <c r="H169" s="591">
        <f>0.2+0.1+0.1</f>
        <v>0.4</v>
      </c>
      <c r="I169" s="591">
        <v>0.1</v>
      </c>
      <c r="J169" s="597">
        <f t="shared" ref="J169:J229" si="15">PRODUCT(D169:I169)</f>
        <v>1.1120000000000001</v>
      </c>
      <c r="K169" s="592"/>
    </row>
    <row r="170" spans="1:11">
      <c r="A170" s="568"/>
      <c r="B170" s="601" t="s">
        <v>571</v>
      </c>
      <c r="C170" s="593" t="s">
        <v>1022</v>
      </c>
      <c r="D170" s="578">
        <v>1</v>
      </c>
      <c r="E170" s="579" t="s">
        <v>8</v>
      </c>
      <c r="F170" s="569">
        <v>1</v>
      </c>
      <c r="G170" s="590">
        <v>5.375</v>
      </c>
      <c r="H170" s="591">
        <f t="shared" ref="H170:H206" si="16">0.2+0.1+0.1</f>
        <v>0.4</v>
      </c>
      <c r="I170" s="591">
        <v>0.1</v>
      </c>
      <c r="J170" s="597">
        <f t="shared" si="15"/>
        <v>0.215</v>
      </c>
      <c r="K170" s="592"/>
    </row>
    <row r="171" spans="1:11">
      <c r="A171" s="568"/>
      <c r="B171" s="601" t="s">
        <v>570</v>
      </c>
      <c r="C171" s="593" t="s">
        <v>1023</v>
      </c>
      <c r="D171" s="578">
        <v>1</v>
      </c>
      <c r="E171" s="579" t="s">
        <v>8</v>
      </c>
      <c r="F171" s="569">
        <v>1</v>
      </c>
      <c r="G171" s="590">
        <v>7.5</v>
      </c>
      <c r="H171" s="591">
        <f t="shared" si="16"/>
        <v>0.4</v>
      </c>
      <c r="I171" s="591">
        <v>0.1</v>
      </c>
      <c r="J171" s="597">
        <f t="shared" si="15"/>
        <v>0.30000000000000004</v>
      </c>
      <c r="K171" s="592"/>
    </row>
    <row r="172" spans="1:11">
      <c r="A172" s="568"/>
      <c r="B172" s="601" t="s">
        <v>1024</v>
      </c>
      <c r="C172" s="593" t="s">
        <v>1092</v>
      </c>
      <c r="D172" s="578">
        <v>1</v>
      </c>
      <c r="E172" s="579" t="s">
        <v>8</v>
      </c>
      <c r="F172" s="569">
        <v>1</v>
      </c>
      <c r="G172" s="590">
        <v>8.1999999999999993</v>
      </c>
      <c r="H172" s="591">
        <f t="shared" si="16"/>
        <v>0.4</v>
      </c>
      <c r="I172" s="591">
        <v>0.1</v>
      </c>
      <c r="J172" s="597">
        <f t="shared" si="15"/>
        <v>0.32800000000000001</v>
      </c>
      <c r="K172" s="592"/>
    </row>
    <row r="173" spans="1:11">
      <c r="A173" s="568"/>
      <c r="B173" s="601" t="s">
        <v>1026</v>
      </c>
      <c r="C173" s="593" t="s">
        <v>1022</v>
      </c>
      <c r="D173" s="578">
        <v>1</v>
      </c>
      <c r="E173" s="579" t="s">
        <v>8</v>
      </c>
      <c r="F173" s="569">
        <v>1</v>
      </c>
      <c r="G173" s="590">
        <v>1.425</v>
      </c>
      <c r="H173" s="591">
        <f t="shared" si="16"/>
        <v>0.4</v>
      </c>
      <c r="I173" s="591">
        <v>0.1</v>
      </c>
      <c r="J173" s="597">
        <f t="shared" si="15"/>
        <v>5.7000000000000009E-2</v>
      </c>
      <c r="K173" s="592"/>
    </row>
    <row r="174" spans="1:11">
      <c r="A174" s="568"/>
      <c r="B174" s="601" t="s">
        <v>1027</v>
      </c>
      <c r="C174" s="593" t="s">
        <v>1028</v>
      </c>
      <c r="D174" s="578">
        <v>1</v>
      </c>
      <c r="E174" s="579" t="s">
        <v>8</v>
      </c>
      <c r="F174" s="569">
        <v>1</v>
      </c>
      <c r="G174" s="590">
        <v>5.0750000000000002</v>
      </c>
      <c r="H174" s="591">
        <f t="shared" si="16"/>
        <v>0.4</v>
      </c>
      <c r="I174" s="591">
        <v>0.1</v>
      </c>
      <c r="J174" s="597">
        <f t="shared" si="15"/>
        <v>0.20300000000000004</v>
      </c>
      <c r="K174" s="592"/>
    </row>
    <row r="175" spans="1:11">
      <c r="A175" s="568"/>
      <c r="B175" s="601" t="s">
        <v>1029</v>
      </c>
      <c r="C175" s="593" t="s">
        <v>1030</v>
      </c>
      <c r="D175" s="578">
        <v>1</v>
      </c>
      <c r="E175" s="579" t="s">
        <v>8</v>
      </c>
      <c r="F175" s="569">
        <v>1</v>
      </c>
      <c r="G175" s="590">
        <v>5.0750000000000002</v>
      </c>
      <c r="H175" s="591">
        <f t="shared" si="16"/>
        <v>0.4</v>
      </c>
      <c r="I175" s="591">
        <v>0.1</v>
      </c>
      <c r="J175" s="597">
        <f t="shared" si="15"/>
        <v>0.20300000000000004</v>
      </c>
      <c r="K175" s="592"/>
    </row>
    <row r="176" spans="1:11">
      <c r="A176" s="568"/>
      <c r="B176" s="601" t="s">
        <v>1031</v>
      </c>
      <c r="C176" s="593" t="s">
        <v>1030</v>
      </c>
      <c r="D176" s="578">
        <v>1</v>
      </c>
      <c r="E176" s="579" t="s">
        <v>8</v>
      </c>
      <c r="F176" s="569">
        <v>1</v>
      </c>
      <c r="G176" s="590">
        <v>5.8</v>
      </c>
      <c r="H176" s="591">
        <f t="shared" si="16"/>
        <v>0.4</v>
      </c>
      <c r="I176" s="591">
        <v>0.1</v>
      </c>
      <c r="J176" s="597">
        <f t="shared" si="15"/>
        <v>0.23199999999999998</v>
      </c>
      <c r="K176" s="592"/>
    </row>
    <row r="177" spans="1:11">
      <c r="A177" s="568"/>
      <c r="B177" s="601" t="s">
        <v>1032</v>
      </c>
      <c r="C177" s="593" t="s">
        <v>575</v>
      </c>
      <c r="D177" s="578">
        <v>1</v>
      </c>
      <c r="E177" s="579" t="s">
        <v>8</v>
      </c>
      <c r="F177" s="569">
        <v>1</v>
      </c>
      <c r="G177" s="590">
        <v>21.9</v>
      </c>
      <c r="H177" s="591">
        <f t="shared" si="16"/>
        <v>0.4</v>
      </c>
      <c r="I177" s="591">
        <v>0.1</v>
      </c>
      <c r="J177" s="597">
        <f t="shared" si="15"/>
        <v>0.876</v>
      </c>
      <c r="K177" s="592"/>
    </row>
    <row r="178" spans="1:11">
      <c r="A178" s="568"/>
      <c r="B178" s="601" t="s">
        <v>1033</v>
      </c>
      <c r="C178" s="593" t="s">
        <v>577</v>
      </c>
      <c r="D178" s="578">
        <v>1</v>
      </c>
      <c r="E178" s="579" t="s">
        <v>8</v>
      </c>
      <c r="F178" s="569">
        <v>1</v>
      </c>
      <c r="G178" s="590">
        <v>2.9</v>
      </c>
      <c r="H178" s="591">
        <f t="shared" si="16"/>
        <v>0.4</v>
      </c>
      <c r="I178" s="591">
        <v>0.1</v>
      </c>
      <c r="J178" s="597">
        <f t="shared" si="15"/>
        <v>0.11599999999999999</v>
      </c>
      <c r="K178" s="592"/>
    </row>
    <row r="179" spans="1:11">
      <c r="A179" s="568"/>
      <c r="B179" s="601" t="s">
        <v>1034</v>
      </c>
      <c r="C179" s="593" t="s">
        <v>573</v>
      </c>
      <c r="D179" s="578">
        <v>1</v>
      </c>
      <c r="E179" s="579" t="s">
        <v>8</v>
      </c>
      <c r="F179" s="569">
        <v>1</v>
      </c>
      <c r="G179" s="590">
        <v>21.774999999999999</v>
      </c>
      <c r="H179" s="591">
        <f t="shared" si="16"/>
        <v>0.4</v>
      </c>
      <c r="I179" s="591">
        <v>0.1</v>
      </c>
      <c r="J179" s="597">
        <f t="shared" si="15"/>
        <v>0.871</v>
      </c>
      <c r="K179" s="592"/>
    </row>
    <row r="180" spans="1:11">
      <c r="A180" s="568"/>
      <c r="B180" s="601" t="s">
        <v>1035</v>
      </c>
      <c r="C180" s="593" t="s">
        <v>574</v>
      </c>
      <c r="D180" s="578">
        <v>1</v>
      </c>
      <c r="E180" s="579" t="s">
        <v>8</v>
      </c>
      <c r="F180" s="569">
        <v>1</v>
      </c>
      <c r="G180" s="590">
        <v>6.4</v>
      </c>
      <c r="H180" s="591">
        <f t="shared" si="16"/>
        <v>0.4</v>
      </c>
      <c r="I180" s="591">
        <v>0.1</v>
      </c>
      <c r="J180" s="597">
        <f t="shared" si="15"/>
        <v>0.25600000000000006</v>
      </c>
      <c r="K180" s="592"/>
    </row>
    <row r="181" spans="1:11">
      <c r="A181" s="568"/>
      <c r="B181" s="601" t="s">
        <v>1036</v>
      </c>
      <c r="C181" s="593" t="s">
        <v>572</v>
      </c>
      <c r="D181" s="578">
        <v>1</v>
      </c>
      <c r="E181" s="579" t="s">
        <v>8</v>
      </c>
      <c r="F181" s="569">
        <v>1</v>
      </c>
      <c r="G181" s="590">
        <v>6</v>
      </c>
      <c r="H181" s="591">
        <f t="shared" si="16"/>
        <v>0.4</v>
      </c>
      <c r="I181" s="591">
        <v>0.1</v>
      </c>
      <c r="J181" s="597">
        <f t="shared" si="15"/>
        <v>0.24000000000000005</v>
      </c>
      <c r="K181" s="592"/>
    </row>
    <row r="182" spans="1:11">
      <c r="A182" s="568"/>
      <c r="B182" s="601" t="s">
        <v>1037</v>
      </c>
      <c r="C182" s="593" t="s">
        <v>1038</v>
      </c>
      <c r="D182" s="578">
        <v>1</v>
      </c>
      <c r="E182" s="579" t="s">
        <v>8</v>
      </c>
      <c r="F182" s="569">
        <v>1</v>
      </c>
      <c r="G182" s="590">
        <v>2.5</v>
      </c>
      <c r="H182" s="591">
        <f t="shared" si="16"/>
        <v>0.4</v>
      </c>
      <c r="I182" s="591">
        <v>0.1</v>
      </c>
      <c r="J182" s="597">
        <f t="shared" si="15"/>
        <v>0.1</v>
      </c>
      <c r="K182" s="592"/>
    </row>
    <row r="183" spans="1:11">
      <c r="A183" s="568"/>
      <c r="B183" s="601" t="s">
        <v>1039</v>
      </c>
      <c r="C183" s="593" t="s">
        <v>1040</v>
      </c>
      <c r="D183" s="578">
        <v>1</v>
      </c>
      <c r="E183" s="579" t="s">
        <v>8</v>
      </c>
      <c r="F183" s="569">
        <v>2</v>
      </c>
      <c r="G183" s="590">
        <v>1.1000000000000001</v>
      </c>
      <c r="H183" s="591">
        <f t="shared" si="16"/>
        <v>0.4</v>
      </c>
      <c r="I183" s="591">
        <v>0.1</v>
      </c>
      <c r="J183" s="597">
        <f t="shared" si="15"/>
        <v>8.8000000000000023E-2</v>
      </c>
      <c r="K183" s="592"/>
    </row>
    <row r="184" spans="1:11">
      <c r="A184" s="568"/>
      <c r="B184" s="601" t="s">
        <v>1041</v>
      </c>
      <c r="C184" s="593" t="s">
        <v>547</v>
      </c>
      <c r="D184" s="578">
        <v>1</v>
      </c>
      <c r="E184" s="579" t="s">
        <v>8</v>
      </c>
      <c r="F184" s="569">
        <v>1</v>
      </c>
      <c r="G184" s="590">
        <v>7.9</v>
      </c>
      <c r="H184" s="591">
        <f t="shared" si="16"/>
        <v>0.4</v>
      </c>
      <c r="I184" s="591">
        <v>0.1</v>
      </c>
      <c r="J184" s="597">
        <f t="shared" si="15"/>
        <v>0.31600000000000006</v>
      </c>
      <c r="K184" s="592"/>
    </row>
    <row r="185" spans="1:11">
      <c r="A185" s="568"/>
      <c r="B185" s="601" t="s">
        <v>1042</v>
      </c>
      <c r="C185" s="593" t="s">
        <v>547</v>
      </c>
      <c r="D185" s="578">
        <v>1</v>
      </c>
      <c r="E185" s="579" t="s">
        <v>8</v>
      </c>
      <c r="F185" s="569">
        <v>1</v>
      </c>
      <c r="G185" s="590">
        <v>3.7</v>
      </c>
      <c r="H185" s="591">
        <f t="shared" si="16"/>
        <v>0.4</v>
      </c>
      <c r="I185" s="591">
        <v>0.1</v>
      </c>
      <c r="J185" s="597">
        <f t="shared" si="15"/>
        <v>0.14800000000000002</v>
      </c>
      <c r="K185" s="592"/>
    </row>
    <row r="186" spans="1:11">
      <c r="A186" s="568"/>
      <c r="B186" s="601" t="s">
        <v>1043</v>
      </c>
      <c r="C186" s="593" t="s">
        <v>491</v>
      </c>
      <c r="D186" s="578">
        <v>1</v>
      </c>
      <c r="E186" s="579" t="s">
        <v>8</v>
      </c>
      <c r="F186" s="569">
        <v>1</v>
      </c>
      <c r="G186" s="590">
        <v>1.956</v>
      </c>
      <c r="H186" s="591">
        <f t="shared" si="16"/>
        <v>0.4</v>
      </c>
      <c r="I186" s="591">
        <v>0.1</v>
      </c>
      <c r="J186" s="597">
        <f t="shared" si="15"/>
        <v>7.8240000000000004E-2</v>
      </c>
      <c r="K186" s="592"/>
    </row>
    <row r="187" spans="1:11">
      <c r="A187" s="568"/>
      <c r="B187" s="601" t="s">
        <v>1043</v>
      </c>
      <c r="C187" s="593" t="s">
        <v>491</v>
      </c>
      <c r="D187" s="578">
        <v>1</v>
      </c>
      <c r="E187" s="579" t="s">
        <v>8</v>
      </c>
      <c r="F187" s="569">
        <v>1</v>
      </c>
      <c r="G187" s="590">
        <v>6.6</v>
      </c>
      <c r="H187" s="591">
        <f t="shared" si="16"/>
        <v>0.4</v>
      </c>
      <c r="I187" s="591">
        <v>0.1</v>
      </c>
      <c r="J187" s="597">
        <f t="shared" si="15"/>
        <v>0.26400000000000001</v>
      </c>
      <c r="K187" s="592"/>
    </row>
    <row r="188" spans="1:11">
      <c r="A188" s="568"/>
      <c r="B188" s="601" t="s">
        <v>1037</v>
      </c>
      <c r="C188" s="593" t="s">
        <v>491</v>
      </c>
      <c r="D188" s="578">
        <v>1</v>
      </c>
      <c r="E188" s="579" t="s">
        <v>8</v>
      </c>
      <c r="F188" s="569">
        <v>1</v>
      </c>
      <c r="G188" s="590">
        <v>2.5</v>
      </c>
      <c r="H188" s="591">
        <f t="shared" si="16"/>
        <v>0.4</v>
      </c>
      <c r="I188" s="591">
        <v>0.1</v>
      </c>
      <c r="J188" s="597">
        <f t="shared" si="15"/>
        <v>0.1</v>
      </c>
      <c r="K188" s="592"/>
    </row>
    <row r="189" spans="1:11">
      <c r="A189" s="568"/>
      <c r="B189" s="601" t="s">
        <v>1036</v>
      </c>
      <c r="C189" s="593" t="s">
        <v>550</v>
      </c>
      <c r="D189" s="578">
        <v>1</v>
      </c>
      <c r="E189" s="579" t="s">
        <v>8</v>
      </c>
      <c r="F189" s="569">
        <v>1</v>
      </c>
      <c r="G189" s="590">
        <v>6.2</v>
      </c>
      <c r="H189" s="591">
        <f t="shared" si="16"/>
        <v>0.4</v>
      </c>
      <c r="I189" s="591">
        <v>0.1</v>
      </c>
      <c r="J189" s="597">
        <f t="shared" si="15"/>
        <v>0.24800000000000005</v>
      </c>
      <c r="K189" s="592"/>
    </row>
    <row r="190" spans="1:11">
      <c r="A190" s="568"/>
      <c r="B190" s="601" t="s">
        <v>1044</v>
      </c>
      <c r="C190" s="593" t="s">
        <v>490</v>
      </c>
      <c r="D190" s="578">
        <v>1</v>
      </c>
      <c r="E190" s="579" t="s">
        <v>8</v>
      </c>
      <c r="F190" s="569">
        <v>1</v>
      </c>
      <c r="G190" s="590">
        <v>12.975</v>
      </c>
      <c r="H190" s="591">
        <f t="shared" si="16"/>
        <v>0.4</v>
      </c>
      <c r="I190" s="591">
        <v>0.1</v>
      </c>
      <c r="J190" s="597">
        <f t="shared" si="15"/>
        <v>0.51900000000000002</v>
      </c>
      <c r="K190" s="592"/>
    </row>
    <row r="191" spans="1:11">
      <c r="A191" s="568"/>
      <c r="B191" s="601" t="s">
        <v>1045</v>
      </c>
      <c r="C191" s="593" t="s">
        <v>548</v>
      </c>
      <c r="D191" s="578">
        <v>1</v>
      </c>
      <c r="E191" s="579" t="s">
        <v>8</v>
      </c>
      <c r="F191" s="569">
        <v>1</v>
      </c>
      <c r="G191" s="590">
        <v>1.9</v>
      </c>
      <c r="H191" s="591">
        <f t="shared" si="16"/>
        <v>0.4</v>
      </c>
      <c r="I191" s="591">
        <v>0.1</v>
      </c>
      <c r="J191" s="597">
        <f t="shared" si="15"/>
        <v>7.6000000000000012E-2</v>
      </c>
      <c r="K191" s="592"/>
    </row>
    <row r="192" spans="1:11">
      <c r="A192" s="568"/>
      <c r="B192" s="601" t="s">
        <v>1045</v>
      </c>
      <c r="C192" s="593" t="s">
        <v>548</v>
      </c>
      <c r="D192" s="578">
        <v>1</v>
      </c>
      <c r="E192" s="579" t="s">
        <v>8</v>
      </c>
      <c r="F192" s="569">
        <v>1</v>
      </c>
      <c r="G192" s="590">
        <v>6.8</v>
      </c>
      <c r="H192" s="591">
        <f t="shared" si="16"/>
        <v>0.4</v>
      </c>
      <c r="I192" s="591">
        <v>0.1</v>
      </c>
      <c r="J192" s="597">
        <f t="shared" si="15"/>
        <v>0.27200000000000002</v>
      </c>
      <c r="K192" s="592"/>
    </row>
    <row r="193" spans="1:11">
      <c r="A193" s="568"/>
      <c r="B193" s="601" t="s">
        <v>1046</v>
      </c>
      <c r="C193" s="593" t="s">
        <v>489</v>
      </c>
      <c r="D193" s="578">
        <v>1</v>
      </c>
      <c r="E193" s="579" t="s">
        <v>8</v>
      </c>
      <c r="F193" s="569">
        <v>1</v>
      </c>
      <c r="G193" s="590">
        <v>1.9</v>
      </c>
      <c r="H193" s="591">
        <f t="shared" si="16"/>
        <v>0.4</v>
      </c>
      <c r="I193" s="591">
        <v>0.1</v>
      </c>
      <c r="J193" s="597">
        <f t="shared" si="15"/>
        <v>7.6000000000000012E-2</v>
      </c>
      <c r="K193" s="592"/>
    </row>
    <row r="194" spans="1:11">
      <c r="A194" s="568"/>
      <c r="B194" s="601" t="s">
        <v>1047</v>
      </c>
      <c r="C194" s="593" t="s">
        <v>489</v>
      </c>
      <c r="D194" s="578">
        <v>1</v>
      </c>
      <c r="E194" s="579" t="s">
        <v>8</v>
      </c>
      <c r="F194" s="569">
        <v>1</v>
      </c>
      <c r="G194" s="590">
        <v>16.675000000000001</v>
      </c>
      <c r="H194" s="591">
        <f t="shared" si="16"/>
        <v>0.4</v>
      </c>
      <c r="I194" s="591">
        <v>0.1</v>
      </c>
      <c r="J194" s="597">
        <f t="shared" si="15"/>
        <v>0.66700000000000015</v>
      </c>
      <c r="K194" s="592"/>
    </row>
    <row r="195" spans="1:11">
      <c r="A195" s="568"/>
      <c r="B195" s="601" t="s">
        <v>1048</v>
      </c>
      <c r="C195" s="593" t="s">
        <v>489</v>
      </c>
      <c r="D195" s="578">
        <v>1</v>
      </c>
      <c r="E195" s="579" t="s">
        <v>8</v>
      </c>
      <c r="F195" s="569">
        <v>1</v>
      </c>
      <c r="G195" s="590">
        <v>1.9</v>
      </c>
      <c r="H195" s="591">
        <f t="shared" si="16"/>
        <v>0.4</v>
      </c>
      <c r="I195" s="591">
        <v>0.1</v>
      </c>
      <c r="J195" s="597">
        <f t="shared" si="15"/>
        <v>7.6000000000000012E-2</v>
      </c>
      <c r="K195" s="592"/>
    </row>
    <row r="196" spans="1:11">
      <c r="A196" s="568"/>
      <c r="B196" s="601" t="s">
        <v>1049</v>
      </c>
      <c r="C196" s="577" t="s">
        <v>583</v>
      </c>
      <c r="D196" s="578">
        <v>1</v>
      </c>
      <c r="E196" s="579" t="s">
        <v>8</v>
      </c>
      <c r="F196" s="569">
        <v>1</v>
      </c>
      <c r="G196" s="590">
        <v>27.8</v>
      </c>
      <c r="H196" s="591">
        <f t="shared" si="16"/>
        <v>0.4</v>
      </c>
      <c r="I196" s="591">
        <v>0.1</v>
      </c>
      <c r="J196" s="597">
        <f t="shared" si="15"/>
        <v>1.1120000000000001</v>
      </c>
      <c r="K196" s="592"/>
    </row>
    <row r="197" spans="1:11">
      <c r="A197" s="568"/>
      <c r="B197" s="601" t="s">
        <v>1049</v>
      </c>
      <c r="C197" s="577" t="s">
        <v>583</v>
      </c>
      <c r="D197" s="578">
        <v>1</v>
      </c>
      <c r="E197" s="579" t="s">
        <v>8</v>
      </c>
      <c r="F197" s="569">
        <v>1</v>
      </c>
      <c r="G197" s="590">
        <v>5.375</v>
      </c>
      <c r="H197" s="591">
        <f t="shared" si="16"/>
        <v>0.4</v>
      </c>
      <c r="I197" s="591">
        <v>0.1</v>
      </c>
      <c r="J197" s="597">
        <f t="shared" si="15"/>
        <v>0.215</v>
      </c>
      <c r="K197" s="592"/>
    </row>
    <row r="198" spans="1:11">
      <c r="A198" s="568"/>
      <c r="B198" s="584" t="s">
        <v>488</v>
      </c>
      <c r="C198" s="589"/>
      <c r="G198" s="590"/>
      <c r="H198" s="591"/>
      <c r="I198" s="591"/>
      <c r="J198" s="597"/>
      <c r="K198" s="592"/>
    </row>
    <row r="199" spans="1:11">
      <c r="A199" s="568"/>
      <c r="B199" s="601" t="s">
        <v>1050</v>
      </c>
      <c r="C199" s="593" t="s">
        <v>549</v>
      </c>
      <c r="D199" s="578">
        <v>1</v>
      </c>
      <c r="E199" s="579" t="s">
        <v>8</v>
      </c>
      <c r="F199" s="569">
        <v>1</v>
      </c>
      <c r="G199" s="590">
        <v>20.2</v>
      </c>
      <c r="H199" s="591">
        <f t="shared" si="16"/>
        <v>0.4</v>
      </c>
      <c r="I199" s="591">
        <v>0.1</v>
      </c>
      <c r="J199" s="597">
        <f t="shared" si="15"/>
        <v>0.80800000000000005</v>
      </c>
      <c r="K199" s="592"/>
    </row>
    <row r="200" spans="1:11">
      <c r="A200" s="568"/>
      <c r="B200" s="601" t="s">
        <v>1051</v>
      </c>
      <c r="C200" s="593" t="s">
        <v>483</v>
      </c>
      <c r="D200" s="578">
        <v>1</v>
      </c>
      <c r="E200" s="579" t="s">
        <v>8</v>
      </c>
      <c r="F200" s="569">
        <v>1</v>
      </c>
      <c r="G200" s="590">
        <v>3.7</v>
      </c>
      <c r="H200" s="591">
        <f t="shared" si="16"/>
        <v>0.4</v>
      </c>
      <c r="I200" s="591">
        <v>0.1</v>
      </c>
      <c r="J200" s="597">
        <f t="shared" si="15"/>
        <v>0.14800000000000002</v>
      </c>
      <c r="K200" s="592"/>
    </row>
    <row r="201" spans="1:11">
      <c r="A201" s="568"/>
      <c r="B201" s="601" t="s">
        <v>1052</v>
      </c>
      <c r="C201" s="593" t="s">
        <v>1053</v>
      </c>
      <c r="D201" s="578">
        <v>1</v>
      </c>
      <c r="E201" s="579" t="s">
        <v>8</v>
      </c>
      <c r="F201" s="569">
        <v>1</v>
      </c>
      <c r="G201" s="590">
        <v>3.3</v>
      </c>
      <c r="H201" s="591">
        <f t="shared" si="16"/>
        <v>0.4</v>
      </c>
      <c r="I201" s="591">
        <v>0.1</v>
      </c>
      <c r="J201" s="597">
        <f t="shared" si="15"/>
        <v>0.13200000000000001</v>
      </c>
      <c r="K201" s="613"/>
    </row>
    <row r="202" spans="1:11">
      <c r="A202" s="568"/>
      <c r="B202" s="601" t="s">
        <v>1054</v>
      </c>
      <c r="C202" s="593" t="s">
        <v>1055</v>
      </c>
      <c r="D202" s="578">
        <v>1</v>
      </c>
      <c r="E202" s="579" t="s">
        <v>8</v>
      </c>
      <c r="F202" s="569">
        <v>1</v>
      </c>
      <c r="G202" s="590">
        <v>3.5</v>
      </c>
      <c r="H202" s="591">
        <f t="shared" si="16"/>
        <v>0.4</v>
      </c>
      <c r="I202" s="591">
        <v>0.1</v>
      </c>
      <c r="J202" s="597">
        <f t="shared" si="15"/>
        <v>0.14000000000000001</v>
      </c>
      <c r="K202" s="613"/>
    </row>
    <row r="203" spans="1:11">
      <c r="A203" s="568"/>
      <c r="B203" s="601" t="s">
        <v>1056</v>
      </c>
      <c r="C203" s="593" t="s">
        <v>1057</v>
      </c>
      <c r="D203" s="578">
        <v>1</v>
      </c>
      <c r="E203" s="579" t="s">
        <v>8</v>
      </c>
      <c r="F203" s="569">
        <v>1</v>
      </c>
      <c r="G203" s="590">
        <v>3.5</v>
      </c>
      <c r="H203" s="591">
        <f t="shared" si="16"/>
        <v>0.4</v>
      </c>
      <c r="I203" s="591">
        <v>0.1</v>
      </c>
      <c r="J203" s="597">
        <f t="shared" si="15"/>
        <v>0.14000000000000001</v>
      </c>
      <c r="K203" s="613"/>
    </row>
    <row r="204" spans="1:11">
      <c r="A204" s="568"/>
      <c r="B204" s="601" t="s">
        <v>1058</v>
      </c>
      <c r="C204" s="593" t="s">
        <v>1059</v>
      </c>
      <c r="D204" s="578">
        <v>1</v>
      </c>
      <c r="E204" s="579" t="s">
        <v>8</v>
      </c>
      <c r="F204" s="569">
        <v>1</v>
      </c>
      <c r="G204" s="590">
        <v>8.3000000000000007</v>
      </c>
      <c r="H204" s="591">
        <f t="shared" si="16"/>
        <v>0.4</v>
      </c>
      <c r="I204" s="591">
        <v>0.1</v>
      </c>
      <c r="J204" s="597">
        <f t="shared" si="15"/>
        <v>0.33200000000000007</v>
      </c>
      <c r="K204" s="613"/>
    </row>
    <row r="205" spans="1:11">
      <c r="A205" s="568"/>
      <c r="B205" s="601" t="s">
        <v>1052</v>
      </c>
      <c r="C205" s="593" t="s">
        <v>1060</v>
      </c>
      <c r="D205" s="578">
        <v>1</v>
      </c>
      <c r="E205" s="579" t="s">
        <v>8</v>
      </c>
      <c r="F205" s="569">
        <v>1</v>
      </c>
      <c r="G205" s="590">
        <v>16.7</v>
      </c>
      <c r="H205" s="591">
        <f t="shared" si="16"/>
        <v>0.4</v>
      </c>
      <c r="I205" s="591">
        <v>0.1</v>
      </c>
      <c r="J205" s="597">
        <f t="shared" si="15"/>
        <v>0.66800000000000004</v>
      </c>
      <c r="K205" s="613"/>
    </row>
    <row r="206" spans="1:11">
      <c r="A206" s="568"/>
      <c r="B206" s="601" t="s">
        <v>1061</v>
      </c>
      <c r="C206" s="593" t="s">
        <v>485</v>
      </c>
      <c r="D206" s="578">
        <v>1</v>
      </c>
      <c r="E206" s="579" t="s">
        <v>8</v>
      </c>
      <c r="F206" s="569">
        <v>1</v>
      </c>
      <c r="G206" s="590">
        <v>6.8</v>
      </c>
      <c r="H206" s="591">
        <f t="shared" si="16"/>
        <v>0.4</v>
      </c>
      <c r="I206" s="591">
        <v>0.1</v>
      </c>
      <c r="J206" s="597">
        <f t="shared" si="15"/>
        <v>0.27200000000000002</v>
      </c>
      <c r="K206" s="613"/>
    </row>
    <row r="207" spans="1:11">
      <c r="A207" s="568"/>
      <c r="B207" s="601" t="s">
        <v>1061</v>
      </c>
      <c r="C207" s="593" t="s">
        <v>485</v>
      </c>
      <c r="D207" s="578">
        <v>1</v>
      </c>
      <c r="E207" s="579" t="s">
        <v>8</v>
      </c>
      <c r="F207" s="569">
        <v>1</v>
      </c>
      <c r="G207" s="590">
        <v>7.351</v>
      </c>
      <c r="H207" s="591">
        <f>0.23+0.1+0.1</f>
        <v>0.43000000000000005</v>
      </c>
      <c r="I207" s="591">
        <v>0.1</v>
      </c>
      <c r="J207" s="597">
        <f t="shared" si="15"/>
        <v>0.31609300000000007</v>
      </c>
      <c r="K207" s="613"/>
    </row>
    <row r="208" spans="1:11">
      <c r="A208" s="568"/>
      <c r="B208" s="601" t="s">
        <v>1061</v>
      </c>
      <c r="C208" s="593" t="s">
        <v>485</v>
      </c>
      <c r="D208" s="578">
        <v>1</v>
      </c>
      <c r="E208" s="579" t="s">
        <v>8</v>
      </c>
      <c r="F208" s="569">
        <v>1</v>
      </c>
      <c r="G208" s="590">
        <v>6.5990000000000002</v>
      </c>
      <c r="H208" s="591">
        <f>0.23+0.1+0.1</f>
        <v>0.43000000000000005</v>
      </c>
      <c r="I208" s="591">
        <v>0.1</v>
      </c>
      <c r="J208" s="597">
        <f t="shared" si="15"/>
        <v>0.28375700000000004</v>
      </c>
      <c r="K208" s="613"/>
    </row>
    <row r="209" spans="1:11">
      <c r="A209" s="568"/>
      <c r="B209" s="601" t="s">
        <v>1062</v>
      </c>
      <c r="C209" s="593" t="s">
        <v>487</v>
      </c>
      <c r="D209" s="578">
        <v>1</v>
      </c>
      <c r="E209" s="579" t="s">
        <v>8</v>
      </c>
      <c r="F209" s="569">
        <v>1</v>
      </c>
      <c r="G209" s="590">
        <v>6.5</v>
      </c>
      <c r="H209" s="591">
        <f t="shared" ref="H209:H229" si="17">0.2+0.1+0.1</f>
        <v>0.4</v>
      </c>
      <c r="I209" s="591">
        <v>0.1</v>
      </c>
      <c r="J209" s="597">
        <f t="shared" si="15"/>
        <v>0.26</v>
      </c>
      <c r="K209" s="613"/>
    </row>
    <row r="210" spans="1:11">
      <c r="A210" s="568"/>
      <c r="B210" s="601" t="s">
        <v>1063</v>
      </c>
      <c r="C210" s="593" t="s">
        <v>487</v>
      </c>
      <c r="D210" s="578">
        <v>1</v>
      </c>
      <c r="E210" s="579" t="s">
        <v>8</v>
      </c>
      <c r="F210" s="569">
        <v>1</v>
      </c>
      <c r="G210" s="590">
        <v>5.4</v>
      </c>
      <c r="H210" s="591">
        <f t="shared" si="17"/>
        <v>0.4</v>
      </c>
      <c r="I210" s="591">
        <v>0.1</v>
      </c>
      <c r="J210" s="597">
        <f t="shared" si="15"/>
        <v>0.21600000000000003</v>
      </c>
      <c r="K210" s="613"/>
    </row>
    <row r="211" spans="1:11">
      <c r="A211" s="568"/>
      <c r="B211" s="601" t="s">
        <v>571</v>
      </c>
      <c r="C211" s="593" t="s">
        <v>1064</v>
      </c>
      <c r="D211" s="578">
        <v>1</v>
      </c>
      <c r="E211" s="579" t="s">
        <v>8</v>
      </c>
      <c r="F211" s="569">
        <v>3</v>
      </c>
      <c r="G211" s="590">
        <v>1.7</v>
      </c>
      <c r="H211" s="591">
        <f t="shared" si="17"/>
        <v>0.4</v>
      </c>
      <c r="I211" s="591">
        <v>0.1</v>
      </c>
      <c r="J211" s="597">
        <f t="shared" si="15"/>
        <v>0.20400000000000001</v>
      </c>
      <c r="K211" s="613"/>
    </row>
    <row r="212" spans="1:11">
      <c r="A212" s="568"/>
      <c r="B212" s="601" t="s">
        <v>1065</v>
      </c>
      <c r="C212" s="593" t="s">
        <v>1064</v>
      </c>
      <c r="D212" s="578">
        <v>1</v>
      </c>
      <c r="E212" s="579" t="s">
        <v>8</v>
      </c>
      <c r="F212" s="569">
        <v>1</v>
      </c>
      <c r="G212" s="590">
        <v>6.8</v>
      </c>
      <c r="H212" s="591">
        <f t="shared" si="17"/>
        <v>0.4</v>
      </c>
      <c r="I212" s="591">
        <v>0.1</v>
      </c>
      <c r="J212" s="597">
        <f t="shared" si="15"/>
        <v>0.27200000000000002</v>
      </c>
      <c r="K212" s="613"/>
    </row>
    <row r="213" spans="1:11">
      <c r="A213" s="568"/>
      <c r="B213" s="601" t="s">
        <v>1066</v>
      </c>
      <c r="C213" s="593" t="s">
        <v>1067</v>
      </c>
      <c r="D213" s="578">
        <v>1</v>
      </c>
      <c r="E213" s="579" t="s">
        <v>8</v>
      </c>
      <c r="F213" s="569">
        <v>1</v>
      </c>
      <c r="G213" s="590">
        <v>2.6</v>
      </c>
      <c r="H213" s="591">
        <f t="shared" si="17"/>
        <v>0.4</v>
      </c>
      <c r="I213" s="591">
        <v>0.1</v>
      </c>
      <c r="J213" s="597">
        <f t="shared" si="15"/>
        <v>0.10400000000000001</v>
      </c>
      <c r="K213" s="613"/>
    </row>
    <row r="214" spans="1:11">
      <c r="A214" s="568"/>
      <c r="B214" s="601" t="s">
        <v>1062</v>
      </c>
      <c r="C214" s="593" t="s">
        <v>1068</v>
      </c>
      <c r="D214" s="578">
        <v>1</v>
      </c>
      <c r="E214" s="579" t="s">
        <v>8</v>
      </c>
      <c r="F214" s="569">
        <v>1</v>
      </c>
      <c r="G214" s="590">
        <v>4.4000000000000004</v>
      </c>
      <c r="H214" s="591">
        <f t="shared" si="17"/>
        <v>0.4</v>
      </c>
      <c r="I214" s="591">
        <v>0.1</v>
      </c>
      <c r="J214" s="597">
        <f t="shared" si="15"/>
        <v>0.17600000000000005</v>
      </c>
      <c r="K214" s="613"/>
    </row>
    <row r="215" spans="1:11">
      <c r="A215" s="568"/>
      <c r="B215" s="601" t="s">
        <v>1069</v>
      </c>
      <c r="C215" s="593" t="s">
        <v>1070</v>
      </c>
      <c r="D215" s="578">
        <v>1</v>
      </c>
      <c r="E215" s="579" t="s">
        <v>8</v>
      </c>
      <c r="F215" s="569">
        <v>1</v>
      </c>
      <c r="G215" s="590">
        <v>6.8</v>
      </c>
      <c r="H215" s="591">
        <f t="shared" si="17"/>
        <v>0.4</v>
      </c>
      <c r="I215" s="591">
        <v>0.1</v>
      </c>
      <c r="J215" s="597">
        <f t="shared" si="15"/>
        <v>0.27200000000000002</v>
      </c>
      <c r="K215" s="613"/>
    </row>
    <row r="216" spans="1:11">
      <c r="A216" s="568"/>
      <c r="B216" s="601" t="s">
        <v>1062</v>
      </c>
      <c r="C216" s="593" t="s">
        <v>1068</v>
      </c>
      <c r="D216" s="578">
        <v>1</v>
      </c>
      <c r="E216" s="579" t="s">
        <v>8</v>
      </c>
      <c r="F216" s="569">
        <v>1</v>
      </c>
      <c r="G216" s="590">
        <v>4.4000000000000004</v>
      </c>
      <c r="H216" s="591">
        <f t="shared" si="17"/>
        <v>0.4</v>
      </c>
      <c r="I216" s="591">
        <v>0.1</v>
      </c>
      <c r="J216" s="597">
        <f t="shared" si="15"/>
        <v>0.17600000000000005</v>
      </c>
      <c r="K216" s="613"/>
    </row>
    <row r="217" spans="1:11">
      <c r="A217" s="568"/>
      <c r="B217" s="601" t="s">
        <v>1066</v>
      </c>
      <c r="C217" s="593" t="s">
        <v>1093</v>
      </c>
      <c r="D217" s="578">
        <v>1</v>
      </c>
      <c r="E217" s="579" t="s">
        <v>8</v>
      </c>
      <c r="F217" s="569">
        <v>1</v>
      </c>
      <c r="G217" s="590">
        <v>2.6</v>
      </c>
      <c r="H217" s="591">
        <f t="shared" si="17"/>
        <v>0.4</v>
      </c>
      <c r="I217" s="591">
        <v>0.1</v>
      </c>
      <c r="J217" s="597">
        <f t="shared" si="15"/>
        <v>0.10400000000000001</v>
      </c>
      <c r="K217" s="613"/>
    </row>
    <row r="218" spans="1:11">
      <c r="A218" s="568"/>
      <c r="B218" s="601" t="s">
        <v>1065</v>
      </c>
      <c r="C218" s="593" t="s">
        <v>1072</v>
      </c>
      <c r="D218" s="578">
        <v>1</v>
      </c>
      <c r="E218" s="579" t="s">
        <v>8</v>
      </c>
      <c r="F218" s="569">
        <v>1</v>
      </c>
      <c r="G218" s="590">
        <v>6.7990000000000004</v>
      </c>
      <c r="H218" s="591">
        <f t="shared" si="17"/>
        <v>0.4</v>
      </c>
      <c r="I218" s="591">
        <v>0.1</v>
      </c>
      <c r="J218" s="597">
        <f t="shared" si="15"/>
        <v>0.27196000000000004</v>
      </c>
      <c r="K218" s="613"/>
    </row>
    <row r="219" spans="1:11">
      <c r="A219" s="568"/>
      <c r="B219" s="601" t="s">
        <v>1073</v>
      </c>
      <c r="C219" s="593" t="s">
        <v>1074</v>
      </c>
      <c r="D219" s="578">
        <v>1</v>
      </c>
      <c r="E219" s="579" t="s">
        <v>8</v>
      </c>
      <c r="F219" s="569">
        <v>1</v>
      </c>
      <c r="G219" s="590">
        <v>11.8</v>
      </c>
      <c r="H219" s="591">
        <f t="shared" si="17"/>
        <v>0.4</v>
      </c>
      <c r="I219" s="591">
        <v>0.1</v>
      </c>
      <c r="J219" s="597">
        <f t="shared" si="15"/>
        <v>0.47200000000000009</v>
      </c>
      <c r="K219" s="613"/>
    </row>
    <row r="220" spans="1:11">
      <c r="A220" s="568"/>
      <c r="B220" s="601" t="s">
        <v>1075</v>
      </c>
      <c r="C220" s="593" t="s">
        <v>1076</v>
      </c>
      <c r="D220" s="578">
        <v>1</v>
      </c>
      <c r="E220" s="579" t="s">
        <v>8</v>
      </c>
      <c r="F220" s="569">
        <v>1</v>
      </c>
      <c r="G220" s="590">
        <v>6.7990000000000004</v>
      </c>
      <c r="H220" s="591">
        <f t="shared" si="17"/>
        <v>0.4</v>
      </c>
      <c r="I220" s="591">
        <v>0.1</v>
      </c>
      <c r="J220" s="597">
        <f t="shared" si="15"/>
        <v>0.27196000000000004</v>
      </c>
      <c r="K220" s="581"/>
    </row>
    <row r="221" spans="1:11">
      <c r="A221" s="568"/>
      <c r="B221" s="601" t="s">
        <v>1077</v>
      </c>
      <c r="C221" s="593" t="s">
        <v>1078</v>
      </c>
      <c r="D221" s="578">
        <v>1</v>
      </c>
      <c r="E221" s="579" t="s">
        <v>8</v>
      </c>
      <c r="F221" s="569">
        <v>1</v>
      </c>
      <c r="G221" s="590">
        <v>11.9</v>
      </c>
      <c r="H221" s="591">
        <f t="shared" si="17"/>
        <v>0.4</v>
      </c>
      <c r="I221" s="591">
        <v>0.1</v>
      </c>
      <c r="J221" s="597">
        <f t="shared" si="15"/>
        <v>0.47600000000000009</v>
      </c>
      <c r="K221" s="581"/>
    </row>
    <row r="222" spans="1:11">
      <c r="A222" s="568"/>
      <c r="B222" s="601" t="s">
        <v>1079</v>
      </c>
      <c r="C222" s="593" t="s">
        <v>1078</v>
      </c>
      <c r="D222" s="578">
        <v>1</v>
      </c>
      <c r="E222" s="579" t="s">
        <v>8</v>
      </c>
      <c r="F222" s="569">
        <v>1</v>
      </c>
      <c r="G222" s="590">
        <v>12.201000000000001</v>
      </c>
      <c r="H222" s="591">
        <f t="shared" si="17"/>
        <v>0.4</v>
      </c>
      <c r="I222" s="591">
        <v>0.1</v>
      </c>
      <c r="J222" s="597">
        <f t="shared" si="15"/>
        <v>0.48804000000000008</v>
      </c>
      <c r="K222" s="581"/>
    </row>
    <row r="223" spans="1:11">
      <c r="A223" s="568"/>
      <c r="B223" s="601" t="s">
        <v>1080</v>
      </c>
      <c r="C223" s="593" t="s">
        <v>1081</v>
      </c>
      <c r="D223" s="578">
        <v>1</v>
      </c>
      <c r="E223" s="579" t="s">
        <v>8</v>
      </c>
      <c r="F223" s="569">
        <v>1</v>
      </c>
      <c r="G223" s="590">
        <v>8.2010000000000005</v>
      </c>
      <c r="H223" s="591">
        <f t="shared" si="17"/>
        <v>0.4</v>
      </c>
      <c r="I223" s="591">
        <v>0.1</v>
      </c>
      <c r="J223" s="597">
        <f t="shared" si="15"/>
        <v>0.32804000000000005</v>
      </c>
      <c r="K223" s="581"/>
    </row>
    <row r="224" spans="1:11">
      <c r="A224" s="568"/>
      <c r="B224" s="601" t="s">
        <v>1082</v>
      </c>
      <c r="C224" s="593" t="s">
        <v>1083</v>
      </c>
      <c r="D224" s="578">
        <v>1</v>
      </c>
      <c r="E224" s="579" t="s">
        <v>8</v>
      </c>
      <c r="F224" s="569">
        <v>1</v>
      </c>
      <c r="G224" s="590">
        <v>11.01</v>
      </c>
      <c r="H224" s="591">
        <f t="shared" si="17"/>
        <v>0.4</v>
      </c>
      <c r="I224" s="591">
        <v>0.1</v>
      </c>
      <c r="J224" s="597">
        <f t="shared" si="15"/>
        <v>0.44040000000000001</v>
      </c>
      <c r="K224" s="581"/>
    </row>
    <row r="225" spans="1:11">
      <c r="A225" s="568"/>
      <c r="B225" s="601" t="s">
        <v>1084</v>
      </c>
      <c r="C225" s="593" t="s">
        <v>1094</v>
      </c>
      <c r="D225" s="578">
        <v>1</v>
      </c>
      <c r="E225" s="579" t="s">
        <v>8</v>
      </c>
      <c r="F225" s="569">
        <v>1</v>
      </c>
      <c r="G225" s="590">
        <v>4.2</v>
      </c>
      <c r="H225" s="591">
        <f t="shared" si="17"/>
        <v>0.4</v>
      </c>
      <c r="I225" s="591">
        <v>0.1</v>
      </c>
      <c r="J225" s="597">
        <f t="shared" si="15"/>
        <v>0.16800000000000004</v>
      </c>
      <c r="K225" s="581"/>
    </row>
    <row r="226" spans="1:11">
      <c r="A226" s="568"/>
      <c r="B226" s="601" t="s">
        <v>1086</v>
      </c>
      <c r="C226" s="593" t="s">
        <v>1094</v>
      </c>
      <c r="D226" s="578">
        <v>1</v>
      </c>
      <c r="E226" s="579" t="s">
        <v>8</v>
      </c>
      <c r="F226" s="569">
        <v>1</v>
      </c>
      <c r="G226" s="590">
        <v>1.1000000000000001</v>
      </c>
      <c r="H226" s="591">
        <f t="shared" si="17"/>
        <v>0.4</v>
      </c>
      <c r="I226" s="591">
        <v>0.1</v>
      </c>
      <c r="J226" s="597">
        <f t="shared" si="15"/>
        <v>4.4000000000000011E-2</v>
      </c>
      <c r="K226" s="581"/>
    </row>
    <row r="227" spans="1:11">
      <c r="A227" s="568"/>
      <c r="B227" s="601" t="s">
        <v>1087</v>
      </c>
      <c r="C227" s="593" t="s">
        <v>1095</v>
      </c>
      <c r="D227" s="578">
        <v>1</v>
      </c>
      <c r="E227" s="579" t="s">
        <v>8</v>
      </c>
      <c r="F227" s="569">
        <v>1</v>
      </c>
      <c r="G227" s="590">
        <v>3</v>
      </c>
      <c r="H227" s="591">
        <f t="shared" si="17"/>
        <v>0.4</v>
      </c>
      <c r="I227" s="591">
        <v>0.1</v>
      </c>
      <c r="J227" s="597">
        <f t="shared" si="15"/>
        <v>0.12000000000000002</v>
      </c>
      <c r="K227" s="581"/>
    </row>
    <row r="228" spans="1:11">
      <c r="A228" s="568"/>
      <c r="B228" s="601" t="s">
        <v>1089</v>
      </c>
      <c r="C228" s="593" t="s">
        <v>1090</v>
      </c>
      <c r="D228" s="578">
        <v>1</v>
      </c>
      <c r="E228" s="579" t="s">
        <v>8</v>
      </c>
      <c r="F228" s="569">
        <v>1</v>
      </c>
      <c r="G228" s="590">
        <v>12.201000000000001</v>
      </c>
      <c r="H228" s="591">
        <f t="shared" si="17"/>
        <v>0.4</v>
      </c>
      <c r="I228" s="591">
        <v>0.1</v>
      </c>
      <c r="J228" s="597">
        <f t="shared" si="15"/>
        <v>0.48804000000000008</v>
      </c>
      <c r="K228" s="581"/>
    </row>
    <row r="229" spans="1:11">
      <c r="A229" s="568"/>
      <c r="B229" s="601" t="s">
        <v>1091</v>
      </c>
      <c r="C229" s="593" t="s">
        <v>1090</v>
      </c>
      <c r="D229" s="578">
        <v>1</v>
      </c>
      <c r="E229" s="579" t="s">
        <v>8</v>
      </c>
      <c r="F229" s="569">
        <v>1</v>
      </c>
      <c r="G229" s="590">
        <v>8.2010000000000005</v>
      </c>
      <c r="H229" s="591">
        <f t="shared" si="17"/>
        <v>0.4</v>
      </c>
      <c r="I229" s="591">
        <v>0.1</v>
      </c>
      <c r="J229" s="597">
        <f t="shared" si="15"/>
        <v>0.32804000000000005</v>
      </c>
      <c r="K229" s="581"/>
    </row>
    <row r="230" spans="1:11">
      <c r="A230" s="568"/>
      <c r="B230" s="601" t="s">
        <v>606</v>
      </c>
      <c r="C230" s="593"/>
      <c r="D230" s="578">
        <v>1</v>
      </c>
      <c r="E230" s="579" t="s">
        <v>8</v>
      </c>
      <c r="F230" s="569">
        <v>1</v>
      </c>
      <c r="G230" s="590">
        <v>5.4</v>
      </c>
      <c r="H230" s="591">
        <v>1.9</v>
      </c>
      <c r="I230" s="591">
        <v>0.1</v>
      </c>
      <c r="J230" s="591">
        <f t="shared" ref="J230:J231" si="18">PRODUCT(D230:I230)</f>
        <v>1.026</v>
      </c>
      <c r="K230" s="581"/>
    </row>
    <row r="231" spans="1:11">
      <c r="A231" s="568"/>
      <c r="B231" s="601" t="s">
        <v>1360</v>
      </c>
      <c r="C231" s="593"/>
      <c r="D231" s="578">
        <v>1</v>
      </c>
      <c r="E231" s="579" t="s">
        <v>8</v>
      </c>
      <c r="F231" s="569">
        <v>1</v>
      </c>
      <c r="G231" s="590">
        <v>3.5</v>
      </c>
      <c r="H231" s="591">
        <v>2.4</v>
      </c>
      <c r="I231" s="591">
        <v>0.1</v>
      </c>
      <c r="J231" s="591">
        <f t="shared" si="18"/>
        <v>0.84000000000000008</v>
      </c>
      <c r="K231" s="581"/>
    </row>
    <row r="232" spans="1:11">
      <c r="A232" s="568"/>
      <c r="B232" s="593" t="s">
        <v>1421</v>
      </c>
      <c r="C232" s="599"/>
      <c r="G232" s="600"/>
      <c r="H232" s="600"/>
      <c r="I232" s="600"/>
      <c r="J232" s="597"/>
      <c r="K232" s="581"/>
    </row>
    <row r="233" spans="1:11">
      <c r="A233" s="568"/>
      <c r="B233" s="593" t="s">
        <v>495</v>
      </c>
      <c r="C233" s="599"/>
      <c r="D233" s="578">
        <v>1</v>
      </c>
      <c r="E233" s="579" t="s">
        <v>8</v>
      </c>
      <c r="F233" s="569">
        <v>1</v>
      </c>
      <c r="G233" s="600">
        <v>6.7</v>
      </c>
      <c r="H233" s="600">
        <f>0.45+0.1+0.1</f>
        <v>0.65</v>
      </c>
      <c r="I233" s="600">
        <v>0.1</v>
      </c>
      <c r="J233" s="597">
        <f t="shared" ref="J233:J235" si="19">PRODUCT(D233:I233)</f>
        <v>0.43550000000000005</v>
      </c>
      <c r="K233" s="568"/>
    </row>
    <row r="234" spans="1:11">
      <c r="A234" s="568"/>
      <c r="B234" s="593"/>
      <c r="C234" s="599"/>
      <c r="D234" s="578">
        <v>1</v>
      </c>
      <c r="E234" s="579" t="s">
        <v>8</v>
      </c>
      <c r="F234" s="569">
        <v>1</v>
      </c>
      <c r="G234" s="600">
        <v>1.8</v>
      </c>
      <c r="H234" s="600">
        <f>0.2+0.1+0.1</f>
        <v>0.4</v>
      </c>
      <c r="I234" s="600">
        <v>0.1</v>
      </c>
      <c r="J234" s="597">
        <f t="shared" si="19"/>
        <v>7.2000000000000008E-2</v>
      </c>
      <c r="K234" s="568"/>
    </row>
    <row r="235" spans="1:11">
      <c r="A235" s="568"/>
      <c r="B235" s="593"/>
      <c r="C235" s="599"/>
      <c r="D235" s="578">
        <v>1</v>
      </c>
      <c r="E235" s="579" t="s">
        <v>8</v>
      </c>
      <c r="F235" s="569">
        <v>1</v>
      </c>
      <c r="G235" s="600">
        <v>9.5</v>
      </c>
      <c r="H235" s="600">
        <f>0.3+0.1+0.1</f>
        <v>0.5</v>
      </c>
      <c r="I235" s="600">
        <v>0.1</v>
      </c>
      <c r="J235" s="597">
        <f t="shared" si="19"/>
        <v>0.47500000000000003</v>
      </c>
      <c r="K235" s="568"/>
    </row>
    <row r="236" spans="1:11">
      <c r="A236" s="568"/>
      <c r="B236" s="593"/>
      <c r="C236" s="599"/>
      <c r="G236" s="600"/>
      <c r="H236" s="600"/>
      <c r="I236" s="600"/>
      <c r="J236" s="597"/>
      <c r="K236" s="568"/>
    </row>
    <row r="237" spans="1:11">
      <c r="A237" s="568"/>
      <c r="B237" s="593" t="s">
        <v>1335</v>
      </c>
      <c r="C237" s="606"/>
      <c r="D237" s="578">
        <v>1</v>
      </c>
      <c r="E237" s="579" t="s">
        <v>8</v>
      </c>
      <c r="F237" s="569">
        <v>1</v>
      </c>
      <c r="G237" s="600">
        <f>10.11+0.1+0.1</f>
        <v>10.309999999999999</v>
      </c>
      <c r="H237" s="600">
        <f>4+0.1+0.1</f>
        <v>4.1999999999999993</v>
      </c>
      <c r="I237" s="600">
        <v>0.1</v>
      </c>
      <c r="J237" s="597">
        <f t="shared" ref="J237:J239" si="20">PRODUCT(D237:I237)</f>
        <v>4.3301999999999987</v>
      </c>
      <c r="K237" s="596"/>
    </row>
    <row r="238" spans="1:11">
      <c r="A238" s="568"/>
      <c r="B238" s="593" t="s">
        <v>1336</v>
      </c>
      <c r="C238" s="606"/>
      <c r="D238" s="578">
        <v>1</v>
      </c>
      <c r="E238" s="579" t="s">
        <v>8</v>
      </c>
      <c r="F238" s="569">
        <v>1</v>
      </c>
      <c r="G238" s="600">
        <v>3.7</v>
      </c>
      <c r="H238" s="600">
        <v>8</v>
      </c>
      <c r="I238" s="600">
        <v>0.15</v>
      </c>
      <c r="J238" s="597">
        <f t="shared" si="20"/>
        <v>4.4400000000000004</v>
      </c>
      <c r="K238" s="596"/>
    </row>
    <row r="239" spans="1:11">
      <c r="A239" s="568"/>
      <c r="B239" s="593" t="s">
        <v>1337</v>
      </c>
      <c r="C239" s="606"/>
      <c r="D239" s="578">
        <v>1</v>
      </c>
      <c r="E239" s="579" t="s">
        <v>8</v>
      </c>
      <c r="F239" s="569">
        <v>1</v>
      </c>
      <c r="G239" s="600">
        <v>7.4</v>
      </c>
      <c r="H239" s="600">
        <v>3.3</v>
      </c>
      <c r="I239" s="600">
        <v>0.15</v>
      </c>
      <c r="J239" s="597">
        <f t="shared" si="20"/>
        <v>3.6629999999999994</v>
      </c>
      <c r="K239" s="596"/>
    </row>
    <row r="240" spans="1:11">
      <c r="A240" s="568"/>
      <c r="B240" s="593" t="s">
        <v>1369</v>
      </c>
      <c r="C240" s="599"/>
      <c r="D240" s="578">
        <v>1</v>
      </c>
      <c r="E240" s="579" t="s">
        <v>8</v>
      </c>
      <c r="F240" s="569">
        <v>1</v>
      </c>
      <c r="G240" s="600">
        <v>10.5</v>
      </c>
      <c r="H240" s="600">
        <v>3.7</v>
      </c>
      <c r="I240" s="600">
        <v>0.1</v>
      </c>
      <c r="J240" s="597">
        <f t="shared" ref="J240" si="21">PRODUCT(D240:I240)</f>
        <v>3.8850000000000002</v>
      </c>
      <c r="K240" s="596"/>
    </row>
    <row r="241" spans="1:11">
      <c r="A241" s="568"/>
      <c r="B241" s="593"/>
      <c r="C241" s="609"/>
      <c r="G241" s="600"/>
      <c r="H241" s="600"/>
      <c r="I241" s="600"/>
      <c r="J241" s="597"/>
      <c r="K241" s="596"/>
    </row>
    <row r="242" spans="1:11">
      <c r="A242" s="568"/>
      <c r="B242" s="593" t="s">
        <v>1096</v>
      </c>
      <c r="C242" s="577"/>
      <c r="D242" s="578">
        <v>1</v>
      </c>
      <c r="E242" s="579" t="s">
        <v>8</v>
      </c>
      <c r="F242" s="569">
        <v>1</v>
      </c>
      <c r="G242" s="598">
        <v>7.8</v>
      </c>
      <c r="H242" s="598">
        <v>9.9</v>
      </c>
      <c r="I242" s="598">
        <v>0.1</v>
      </c>
      <c r="J242" s="598">
        <f t="shared" ref="J242:J264" si="22">ROUNDUP(PRODUCT(D242:I242),2)</f>
        <v>7.7299999999999995</v>
      </c>
      <c r="K242" s="581"/>
    </row>
    <row r="243" spans="1:11">
      <c r="A243" s="568"/>
      <c r="B243" s="593" t="s">
        <v>13</v>
      </c>
      <c r="C243" s="577"/>
      <c r="D243" s="578">
        <v>1</v>
      </c>
      <c r="E243" s="579" t="s">
        <v>8</v>
      </c>
      <c r="F243" s="569">
        <v>1</v>
      </c>
      <c r="G243" s="598">
        <v>1.5</v>
      </c>
      <c r="H243" s="598">
        <v>1.6</v>
      </c>
      <c r="I243" s="598">
        <v>0.1</v>
      </c>
      <c r="J243" s="598">
        <f t="shared" si="22"/>
        <v>0.24</v>
      </c>
      <c r="K243" s="581"/>
    </row>
    <row r="244" spans="1:11">
      <c r="A244" s="568"/>
      <c r="B244" s="593" t="s">
        <v>1097</v>
      </c>
      <c r="C244" s="577"/>
      <c r="D244" s="578">
        <v>1</v>
      </c>
      <c r="E244" s="579" t="s">
        <v>8</v>
      </c>
      <c r="F244" s="569">
        <v>1</v>
      </c>
      <c r="G244" s="598">
        <v>3.8</v>
      </c>
      <c r="H244" s="598">
        <v>6.4</v>
      </c>
      <c r="I244" s="598">
        <v>0.1</v>
      </c>
      <c r="J244" s="598">
        <f t="shared" si="22"/>
        <v>2.44</v>
      </c>
      <c r="K244" s="581"/>
    </row>
    <row r="245" spans="1:11">
      <c r="A245" s="568"/>
      <c r="B245" s="593" t="s">
        <v>1098</v>
      </c>
      <c r="C245" s="577"/>
      <c r="D245" s="578">
        <v>1</v>
      </c>
      <c r="E245" s="579" t="s">
        <v>8</v>
      </c>
      <c r="F245" s="569">
        <v>1</v>
      </c>
      <c r="G245" s="598">
        <v>3.8</v>
      </c>
      <c r="H245" s="598">
        <v>4.0999999999999996</v>
      </c>
      <c r="I245" s="598">
        <v>0.1</v>
      </c>
      <c r="J245" s="598">
        <f t="shared" si="22"/>
        <v>1.56</v>
      </c>
      <c r="K245" s="581"/>
    </row>
    <row r="246" spans="1:11">
      <c r="A246" s="568"/>
      <c r="B246" s="593" t="s">
        <v>1099</v>
      </c>
      <c r="C246" s="577"/>
      <c r="D246" s="578">
        <v>1</v>
      </c>
      <c r="E246" s="579" t="s">
        <v>8</v>
      </c>
      <c r="F246" s="569">
        <v>1</v>
      </c>
      <c r="G246" s="598">
        <v>2.2000000000000002</v>
      </c>
      <c r="H246" s="598">
        <v>2.2000000000000002</v>
      </c>
      <c r="I246" s="598">
        <v>0.1</v>
      </c>
      <c r="J246" s="598">
        <f t="shared" si="22"/>
        <v>0.49</v>
      </c>
      <c r="K246" s="581"/>
    </row>
    <row r="247" spans="1:11">
      <c r="A247" s="568"/>
      <c r="B247" s="593" t="s">
        <v>592</v>
      </c>
      <c r="C247" s="577"/>
      <c r="D247" s="578">
        <v>1</v>
      </c>
      <c r="E247" s="579" t="s">
        <v>8</v>
      </c>
      <c r="F247" s="569">
        <v>1</v>
      </c>
      <c r="G247" s="598">
        <v>3.8</v>
      </c>
      <c r="H247" s="598">
        <v>4.0999999999999996</v>
      </c>
      <c r="I247" s="598">
        <v>0.1</v>
      </c>
      <c r="J247" s="598">
        <f t="shared" si="22"/>
        <v>1.56</v>
      </c>
      <c r="K247" s="581"/>
    </row>
    <row r="248" spans="1:11">
      <c r="A248" s="568"/>
      <c r="B248" s="593" t="s">
        <v>1099</v>
      </c>
      <c r="C248" s="577"/>
      <c r="D248" s="578">
        <v>1</v>
      </c>
      <c r="E248" s="579" t="s">
        <v>8</v>
      </c>
      <c r="F248" s="569">
        <v>1</v>
      </c>
      <c r="G248" s="598">
        <v>2.2000000000000002</v>
      </c>
      <c r="H248" s="598">
        <v>2.2000000000000002</v>
      </c>
      <c r="I248" s="598">
        <v>0.1</v>
      </c>
      <c r="J248" s="598">
        <f t="shared" si="22"/>
        <v>0.49</v>
      </c>
      <c r="K248" s="581"/>
    </row>
    <row r="249" spans="1:11">
      <c r="A249" s="568"/>
      <c r="B249" s="593" t="s">
        <v>1100</v>
      </c>
      <c r="C249" s="577"/>
      <c r="D249" s="578">
        <v>1</v>
      </c>
      <c r="E249" s="579" t="s">
        <v>8</v>
      </c>
      <c r="F249" s="569">
        <v>1</v>
      </c>
      <c r="G249" s="598">
        <v>7.8</v>
      </c>
      <c r="H249" s="598">
        <v>8.4</v>
      </c>
      <c r="I249" s="598">
        <v>0.1</v>
      </c>
      <c r="J249" s="598">
        <f t="shared" si="22"/>
        <v>6.56</v>
      </c>
      <c r="K249" s="581"/>
    </row>
    <row r="250" spans="1:11">
      <c r="A250" s="568"/>
      <c r="B250" s="593" t="s">
        <v>584</v>
      </c>
      <c r="C250" s="577"/>
      <c r="D250" s="578">
        <v>1</v>
      </c>
      <c r="E250" s="579" t="s">
        <v>8</v>
      </c>
      <c r="F250" s="569">
        <v>1</v>
      </c>
      <c r="G250" s="598">
        <v>5.07</v>
      </c>
      <c r="H250" s="598">
        <v>5</v>
      </c>
      <c r="I250" s="598">
        <v>0.1</v>
      </c>
      <c r="J250" s="598">
        <f t="shared" si="22"/>
        <v>2.5399999999999996</v>
      </c>
      <c r="K250" s="581"/>
    </row>
    <row r="251" spans="1:11">
      <c r="A251" s="568"/>
      <c r="B251" s="593" t="s">
        <v>1101</v>
      </c>
      <c r="C251" s="577"/>
      <c r="D251" s="578">
        <v>1</v>
      </c>
      <c r="E251" s="579" t="s">
        <v>8</v>
      </c>
      <c r="F251" s="569">
        <v>1</v>
      </c>
      <c r="G251" s="598">
        <v>1.425</v>
      </c>
      <c r="H251" s="598">
        <v>0.9</v>
      </c>
      <c r="I251" s="598">
        <v>0.1</v>
      </c>
      <c r="J251" s="598">
        <f t="shared" si="22"/>
        <v>0.13</v>
      </c>
      <c r="K251" s="581"/>
    </row>
    <row r="252" spans="1:11">
      <c r="A252" s="568"/>
      <c r="B252" s="593" t="s">
        <v>1102</v>
      </c>
      <c r="C252" s="577"/>
      <c r="D252" s="578">
        <v>1</v>
      </c>
      <c r="E252" s="579" t="s">
        <v>8</v>
      </c>
      <c r="F252" s="569">
        <v>1</v>
      </c>
      <c r="G252" s="598">
        <v>2.37</v>
      </c>
      <c r="H252" s="598">
        <v>2.6</v>
      </c>
      <c r="I252" s="598">
        <v>0.1</v>
      </c>
      <c r="J252" s="598">
        <f t="shared" si="22"/>
        <v>0.62</v>
      </c>
      <c r="K252" s="581"/>
    </row>
    <row r="253" spans="1:11">
      <c r="A253" s="568"/>
      <c r="B253" s="593" t="s">
        <v>1103</v>
      </c>
      <c r="C253" s="577"/>
      <c r="D253" s="578">
        <v>1</v>
      </c>
      <c r="E253" s="579" t="s">
        <v>8</v>
      </c>
      <c r="F253" s="569">
        <v>1</v>
      </c>
      <c r="G253" s="598">
        <v>2.5</v>
      </c>
      <c r="H253" s="598">
        <v>2.6</v>
      </c>
      <c r="I253" s="598">
        <v>0.1</v>
      </c>
      <c r="J253" s="598">
        <f t="shared" si="22"/>
        <v>0.65</v>
      </c>
      <c r="K253" s="581"/>
    </row>
    <row r="254" spans="1:11">
      <c r="A254" s="568"/>
      <c r="B254" s="593" t="s">
        <v>1104</v>
      </c>
      <c r="C254" s="577"/>
      <c r="D254" s="578">
        <v>1</v>
      </c>
      <c r="E254" s="579" t="s">
        <v>8</v>
      </c>
      <c r="F254" s="569">
        <v>1</v>
      </c>
      <c r="G254" s="598">
        <v>19.77</v>
      </c>
      <c r="H254" s="598">
        <v>1.3</v>
      </c>
      <c r="I254" s="598">
        <v>0.1</v>
      </c>
      <c r="J254" s="598">
        <f t="shared" si="22"/>
        <v>2.5799999999999996</v>
      </c>
      <c r="K254" s="581"/>
    </row>
    <row r="255" spans="1:11">
      <c r="A255" s="568"/>
      <c r="B255" s="593" t="s">
        <v>1104</v>
      </c>
      <c r="C255" s="577"/>
      <c r="D255" s="578">
        <v>1</v>
      </c>
      <c r="E255" s="579" t="s">
        <v>8</v>
      </c>
      <c r="F255" s="569">
        <v>2</v>
      </c>
      <c r="G255" s="598">
        <v>1.5</v>
      </c>
      <c r="H255" s="598">
        <v>11.5</v>
      </c>
      <c r="I255" s="598">
        <v>0.1</v>
      </c>
      <c r="J255" s="598">
        <f t="shared" si="22"/>
        <v>3.45</v>
      </c>
      <c r="K255" s="581"/>
    </row>
    <row r="256" spans="1:11">
      <c r="A256" s="568"/>
      <c r="B256" s="593" t="s">
        <v>1105</v>
      </c>
      <c r="C256" s="577"/>
      <c r="D256" s="578">
        <v>1</v>
      </c>
      <c r="E256" s="579" t="s">
        <v>8</v>
      </c>
      <c r="F256" s="569">
        <v>1</v>
      </c>
      <c r="G256" s="598">
        <f>4.9+0.9</f>
        <v>5.8000000000000007</v>
      </c>
      <c r="H256" s="598">
        <v>9.6999999999999993</v>
      </c>
      <c r="I256" s="598">
        <v>0.1</v>
      </c>
      <c r="J256" s="598">
        <f t="shared" si="22"/>
        <v>5.63</v>
      </c>
      <c r="K256" s="581"/>
    </row>
    <row r="257" spans="1:11">
      <c r="A257" s="568"/>
      <c r="B257" s="593" t="s">
        <v>21</v>
      </c>
      <c r="C257" s="577"/>
      <c r="D257" s="578">
        <v>1</v>
      </c>
      <c r="E257" s="579" t="s">
        <v>8</v>
      </c>
      <c r="F257" s="569">
        <v>1</v>
      </c>
      <c r="G257" s="598">
        <v>2.5</v>
      </c>
      <c r="H257" s="598">
        <v>1.9</v>
      </c>
      <c r="I257" s="598">
        <v>0.1</v>
      </c>
      <c r="J257" s="598">
        <f t="shared" si="22"/>
        <v>0.48</v>
      </c>
      <c r="K257" s="581"/>
    </row>
    <row r="258" spans="1:11">
      <c r="A258" s="568"/>
      <c r="B258" s="593" t="s">
        <v>1106</v>
      </c>
      <c r="C258" s="577"/>
      <c r="D258" s="578">
        <v>1</v>
      </c>
      <c r="E258" s="579" t="s">
        <v>8</v>
      </c>
      <c r="F258" s="569">
        <v>1</v>
      </c>
      <c r="G258" s="598">
        <v>0.8</v>
      </c>
      <c r="H258" s="598">
        <v>1.9</v>
      </c>
      <c r="I258" s="598">
        <v>0.1</v>
      </c>
      <c r="J258" s="598">
        <f t="shared" si="22"/>
        <v>0.16</v>
      </c>
      <c r="K258" s="581"/>
    </row>
    <row r="259" spans="1:11">
      <c r="A259" s="568"/>
      <c r="B259" s="593" t="s">
        <v>59</v>
      </c>
      <c r="C259" s="577"/>
      <c r="D259" s="578">
        <v>1</v>
      </c>
      <c r="E259" s="579" t="s">
        <v>8</v>
      </c>
      <c r="F259" s="569">
        <v>1</v>
      </c>
      <c r="G259" s="598">
        <v>16.27</v>
      </c>
      <c r="H259" s="598">
        <v>1.9</v>
      </c>
      <c r="I259" s="598">
        <v>0.1</v>
      </c>
      <c r="J259" s="598">
        <f t="shared" si="22"/>
        <v>3.0999999999999996</v>
      </c>
      <c r="K259" s="581"/>
    </row>
    <row r="260" spans="1:11">
      <c r="A260" s="568"/>
      <c r="B260" s="593" t="s">
        <v>606</v>
      </c>
      <c r="C260" s="577"/>
      <c r="D260" s="578">
        <v>1</v>
      </c>
      <c r="E260" s="579" t="s">
        <v>8</v>
      </c>
      <c r="F260" s="569">
        <v>1</v>
      </c>
      <c r="G260" s="598">
        <v>16.27</v>
      </c>
      <c r="H260" s="598">
        <v>1.8</v>
      </c>
      <c r="I260" s="598">
        <v>0.1</v>
      </c>
      <c r="J260" s="598">
        <f t="shared" si="22"/>
        <v>2.9299999999999997</v>
      </c>
      <c r="K260" s="581"/>
    </row>
    <row r="261" spans="1:11">
      <c r="A261" s="568"/>
      <c r="B261" s="593" t="s">
        <v>1107</v>
      </c>
      <c r="C261" s="577"/>
      <c r="D261" s="578">
        <v>1</v>
      </c>
      <c r="E261" s="579" t="s">
        <v>8</v>
      </c>
      <c r="F261" s="569">
        <v>1</v>
      </c>
      <c r="G261" s="598">
        <v>9.27</v>
      </c>
      <c r="H261" s="598">
        <v>7.3</v>
      </c>
      <c r="I261" s="598">
        <v>0.1</v>
      </c>
      <c r="J261" s="598">
        <f t="shared" si="22"/>
        <v>6.77</v>
      </c>
      <c r="K261" s="581"/>
    </row>
    <row r="262" spans="1:11">
      <c r="A262" s="568"/>
      <c r="B262" s="593" t="s">
        <v>1108</v>
      </c>
      <c r="C262" s="577"/>
      <c r="D262" s="578">
        <v>1</v>
      </c>
      <c r="E262" s="579" t="s">
        <v>8</v>
      </c>
      <c r="F262" s="569">
        <v>2</v>
      </c>
      <c r="G262" s="598">
        <f>2.5+0.2+0.8</f>
        <v>3.5</v>
      </c>
      <c r="H262" s="598">
        <f>5.4-0.1-0.2</f>
        <v>5.1000000000000005</v>
      </c>
      <c r="I262" s="598">
        <v>0.1</v>
      </c>
      <c r="J262" s="598">
        <f t="shared" si="22"/>
        <v>3.57</v>
      </c>
      <c r="K262" s="581"/>
    </row>
    <row r="263" spans="1:11">
      <c r="A263" s="568"/>
      <c r="B263" s="593" t="s">
        <v>1109</v>
      </c>
      <c r="C263" s="577"/>
      <c r="D263" s="578">
        <v>1</v>
      </c>
      <c r="E263" s="579" t="s">
        <v>8</v>
      </c>
      <c r="F263" s="569">
        <v>2</v>
      </c>
      <c r="G263" s="598">
        <f>4.1+0.1+2.2</f>
        <v>6.3999999999999995</v>
      </c>
      <c r="H263" s="598">
        <v>3.8</v>
      </c>
      <c r="I263" s="598">
        <v>0.1</v>
      </c>
      <c r="J263" s="598">
        <f t="shared" si="22"/>
        <v>4.87</v>
      </c>
      <c r="K263" s="581"/>
    </row>
    <row r="264" spans="1:11">
      <c r="A264" s="568"/>
      <c r="B264" s="593" t="s">
        <v>1110</v>
      </c>
      <c r="C264" s="577"/>
      <c r="D264" s="578">
        <v>1</v>
      </c>
      <c r="E264" s="579" t="s">
        <v>8</v>
      </c>
      <c r="F264" s="569">
        <v>1</v>
      </c>
      <c r="G264" s="598">
        <f>4.8+0.1+1.5</f>
        <v>6.3999999999999995</v>
      </c>
      <c r="H264" s="598">
        <v>3.8</v>
      </c>
      <c r="I264" s="598">
        <v>0.1</v>
      </c>
      <c r="J264" s="598">
        <f t="shared" si="22"/>
        <v>2.44</v>
      </c>
      <c r="K264" s="581"/>
    </row>
    <row r="265" spans="1:11">
      <c r="A265" s="568"/>
      <c r="B265" s="593" t="s">
        <v>1334</v>
      </c>
      <c r="C265" s="577"/>
      <c r="G265" s="612"/>
      <c r="H265" s="598"/>
      <c r="I265" s="598"/>
      <c r="J265" s="598"/>
      <c r="K265" s="581"/>
    </row>
    <row r="266" spans="1:11">
      <c r="A266" s="568"/>
      <c r="B266" s="593" t="s">
        <v>1338</v>
      </c>
      <c r="C266" s="577"/>
      <c r="D266" s="578">
        <v>1</v>
      </c>
      <c r="E266" s="579" t="s">
        <v>8</v>
      </c>
      <c r="F266" s="569">
        <v>2</v>
      </c>
      <c r="G266" s="598">
        <v>2.5</v>
      </c>
      <c r="H266" s="598">
        <v>2</v>
      </c>
      <c r="I266" s="598">
        <v>0.1</v>
      </c>
      <c r="J266" s="598">
        <f t="shared" ref="J266:J267" si="23">ROUNDUP(PRODUCT(D266:I266),2)</f>
        <v>1</v>
      </c>
      <c r="K266" s="581"/>
    </row>
    <row r="267" spans="1:11">
      <c r="A267" s="568"/>
      <c r="B267" s="593" t="s">
        <v>13</v>
      </c>
      <c r="C267" s="577"/>
      <c r="D267" s="578">
        <v>1</v>
      </c>
      <c r="E267" s="579" t="s">
        <v>8</v>
      </c>
      <c r="F267" s="569">
        <v>1</v>
      </c>
      <c r="G267" s="598">
        <v>1.2</v>
      </c>
      <c r="H267" s="598">
        <v>2</v>
      </c>
      <c r="I267" s="598">
        <v>0.1</v>
      </c>
      <c r="J267" s="598">
        <f t="shared" si="23"/>
        <v>0.24</v>
      </c>
      <c r="K267" s="581"/>
    </row>
    <row r="268" spans="1:11">
      <c r="A268" s="568"/>
      <c r="B268" s="593"/>
      <c r="C268" s="577"/>
      <c r="G268" s="612"/>
      <c r="H268" s="598"/>
      <c r="I268" s="598"/>
      <c r="J268" s="614">
        <f>SUM(J138:J267)</f>
        <v>143.42945970000005</v>
      </c>
      <c r="K268" s="581"/>
    </row>
    <row r="269" spans="1:11">
      <c r="A269" s="568"/>
      <c r="B269" s="610" t="s">
        <v>28</v>
      </c>
      <c r="C269" s="577"/>
      <c r="G269" s="612"/>
      <c r="H269" s="598"/>
      <c r="I269" s="598"/>
      <c r="J269" s="605">
        <f>ROUNDUP(J268,0)</f>
        <v>144</v>
      </c>
      <c r="K269" s="576" t="s">
        <v>52</v>
      </c>
    </row>
    <row r="270" spans="1:11">
      <c r="A270" s="568"/>
      <c r="B270" s="582"/>
      <c r="C270" s="577"/>
      <c r="G270" s="612"/>
      <c r="H270" s="598"/>
      <c r="I270" s="598"/>
      <c r="J270" s="598"/>
      <c r="K270" s="581"/>
    </row>
    <row r="271" spans="1:11">
      <c r="A271" s="568" t="s">
        <v>70</v>
      </c>
      <c r="B271" s="576" t="str">
        <f>'BOQ-C&amp;I'!C20</f>
        <v>Good Earth brought from outside</v>
      </c>
      <c r="C271" s="577"/>
      <c r="G271" s="612"/>
      <c r="H271" s="598"/>
      <c r="I271" s="598"/>
      <c r="J271" s="598"/>
      <c r="K271" s="581"/>
    </row>
    <row r="272" spans="1:11">
      <c r="A272" s="568"/>
      <c r="B272" s="593" t="s">
        <v>12</v>
      </c>
      <c r="C272" s="577"/>
      <c r="G272" s="612"/>
      <c r="H272" s="598"/>
      <c r="I272" s="598"/>
      <c r="J272" s="598"/>
      <c r="K272" s="581"/>
    </row>
    <row r="273" spans="1:11">
      <c r="A273" s="568"/>
      <c r="B273" s="593" t="s">
        <v>1096</v>
      </c>
      <c r="C273" s="577"/>
      <c r="D273" s="578">
        <v>1</v>
      </c>
      <c r="E273" s="579" t="s">
        <v>8</v>
      </c>
      <c r="F273" s="569">
        <v>1</v>
      </c>
      <c r="G273" s="598">
        <v>7.8</v>
      </c>
      <c r="H273" s="598">
        <v>9.9</v>
      </c>
      <c r="I273" s="598">
        <v>0.45</v>
      </c>
      <c r="J273" s="598">
        <f t="shared" ref="J273:J295" si="24">ROUNDUP(PRODUCT(D273:I273),2)</f>
        <v>34.75</v>
      </c>
      <c r="K273" s="581"/>
    </row>
    <row r="274" spans="1:11">
      <c r="A274" s="568"/>
      <c r="B274" s="593" t="s">
        <v>13</v>
      </c>
      <c r="C274" s="577"/>
      <c r="D274" s="578">
        <v>1</v>
      </c>
      <c r="E274" s="579" t="s">
        <v>8</v>
      </c>
      <c r="F274" s="569">
        <v>1</v>
      </c>
      <c r="G274" s="598">
        <v>1.5</v>
      </c>
      <c r="H274" s="598">
        <v>1.6</v>
      </c>
      <c r="I274" s="598">
        <v>0.45</v>
      </c>
      <c r="J274" s="598">
        <f t="shared" si="24"/>
        <v>1.08</v>
      </c>
      <c r="K274" s="581"/>
    </row>
    <row r="275" spans="1:11">
      <c r="A275" s="568"/>
      <c r="B275" s="593" t="s">
        <v>1097</v>
      </c>
      <c r="C275" s="577"/>
      <c r="D275" s="578">
        <v>1</v>
      </c>
      <c r="E275" s="579" t="s">
        <v>8</v>
      </c>
      <c r="F275" s="569">
        <v>1</v>
      </c>
      <c r="G275" s="598">
        <v>3.8</v>
      </c>
      <c r="H275" s="598">
        <v>6.4</v>
      </c>
      <c r="I275" s="598">
        <v>0.45</v>
      </c>
      <c r="J275" s="598">
        <f t="shared" si="24"/>
        <v>10.95</v>
      </c>
      <c r="K275" s="581"/>
    </row>
    <row r="276" spans="1:11">
      <c r="A276" s="568"/>
      <c r="B276" s="593" t="s">
        <v>1098</v>
      </c>
      <c r="C276" s="577"/>
      <c r="D276" s="578">
        <v>1</v>
      </c>
      <c r="E276" s="579" t="s">
        <v>8</v>
      </c>
      <c r="F276" s="569">
        <v>1</v>
      </c>
      <c r="G276" s="598">
        <v>3.8</v>
      </c>
      <c r="H276" s="598">
        <v>4.0999999999999996</v>
      </c>
      <c r="I276" s="598">
        <v>0.45</v>
      </c>
      <c r="J276" s="598">
        <f t="shared" si="24"/>
        <v>7.02</v>
      </c>
      <c r="K276" s="581"/>
    </row>
    <row r="277" spans="1:11">
      <c r="A277" s="568"/>
      <c r="B277" s="593" t="s">
        <v>1099</v>
      </c>
      <c r="C277" s="577"/>
      <c r="D277" s="578">
        <v>1</v>
      </c>
      <c r="E277" s="579" t="s">
        <v>8</v>
      </c>
      <c r="F277" s="569">
        <v>1</v>
      </c>
      <c r="G277" s="598">
        <v>2.2000000000000002</v>
      </c>
      <c r="H277" s="598">
        <v>2.2000000000000002</v>
      </c>
      <c r="I277" s="598">
        <v>0.45</v>
      </c>
      <c r="J277" s="598">
        <f t="shared" si="24"/>
        <v>2.1799999999999997</v>
      </c>
      <c r="K277" s="581"/>
    </row>
    <row r="278" spans="1:11">
      <c r="A278" s="568"/>
      <c r="B278" s="593" t="s">
        <v>592</v>
      </c>
      <c r="C278" s="577"/>
      <c r="D278" s="578">
        <v>1</v>
      </c>
      <c r="E278" s="579" t="s">
        <v>8</v>
      </c>
      <c r="F278" s="569">
        <v>1</v>
      </c>
      <c r="G278" s="598">
        <v>3.8</v>
      </c>
      <c r="H278" s="598">
        <v>4.0999999999999996</v>
      </c>
      <c r="I278" s="598">
        <v>0.45</v>
      </c>
      <c r="J278" s="598">
        <f t="shared" si="24"/>
        <v>7.02</v>
      </c>
      <c r="K278" s="581"/>
    </row>
    <row r="279" spans="1:11">
      <c r="A279" s="568"/>
      <c r="B279" s="593" t="s">
        <v>1099</v>
      </c>
      <c r="C279" s="577"/>
      <c r="D279" s="578">
        <v>1</v>
      </c>
      <c r="E279" s="579" t="s">
        <v>8</v>
      </c>
      <c r="F279" s="569">
        <v>1</v>
      </c>
      <c r="G279" s="598">
        <v>2.2000000000000002</v>
      </c>
      <c r="H279" s="598">
        <v>2.2000000000000002</v>
      </c>
      <c r="I279" s="598">
        <v>0.45</v>
      </c>
      <c r="J279" s="598">
        <f t="shared" si="24"/>
        <v>2.1799999999999997</v>
      </c>
      <c r="K279" s="581"/>
    </row>
    <row r="280" spans="1:11">
      <c r="A280" s="568"/>
      <c r="B280" s="593" t="s">
        <v>1100</v>
      </c>
      <c r="C280" s="577"/>
      <c r="D280" s="578">
        <v>1</v>
      </c>
      <c r="E280" s="579" t="s">
        <v>8</v>
      </c>
      <c r="F280" s="569">
        <v>1</v>
      </c>
      <c r="G280" s="598">
        <v>7.8</v>
      </c>
      <c r="H280" s="598">
        <v>8.4</v>
      </c>
      <c r="I280" s="598">
        <v>0.45</v>
      </c>
      <c r="J280" s="598">
        <f t="shared" si="24"/>
        <v>29.490000000000002</v>
      </c>
      <c r="K280" s="581"/>
    </row>
    <row r="281" spans="1:11">
      <c r="A281" s="568"/>
      <c r="B281" s="593" t="s">
        <v>584</v>
      </c>
      <c r="C281" s="577"/>
      <c r="D281" s="578">
        <v>1</v>
      </c>
      <c r="E281" s="579" t="s">
        <v>8</v>
      </c>
      <c r="F281" s="569">
        <v>1</v>
      </c>
      <c r="G281" s="598">
        <v>5.07</v>
      </c>
      <c r="H281" s="598">
        <v>5</v>
      </c>
      <c r="I281" s="598">
        <v>0.45</v>
      </c>
      <c r="J281" s="598">
        <f t="shared" si="24"/>
        <v>11.41</v>
      </c>
      <c r="K281" s="581"/>
    </row>
    <row r="282" spans="1:11">
      <c r="A282" s="568"/>
      <c r="B282" s="593" t="s">
        <v>1101</v>
      </c>
      <c r="C282" s="577"/>
      <c r="D282" s="578">
        <v>1</v>
      </c>
      <c r="E282" s="579" t="s">
        <v>8</v>
      </c>
      <c r="F282" s="569">
        <v>1</v>
      </c>
      <c r="G282" s="598">
        <v>1.425</v>
      </c>
      <c r="H282" s="598">
        <v>0.9</v>
      </c>
      <c r="I282" s="598">
        <v>0.45</v>
      </c>
      <c r="J282" s="598">
        <f t="shared" si="24"/>
        <v>0.57999999999999996</v>
      </c>
      <c r="K282" s="581"/>
    </row>
    <row r="283" spans="1:11">
      <c r="A283" s="568"/>
      <c r="B283" s="593" t="s">
        <v>1102</v>
      </c>
      <c r="C283" s="577"/>
      <c r="D283" s="578">
        <v>1</v>
      </c>
      <c r="E283" s="579" t="s">
        <v>8</v>
      </c>
      <c r="F283" s="569">
        <v>1</v>
      </c>
      <c r="G283" s="598">
        <v>2.37</v>
      </c>
      <c r="H283" s="598">
        <v>2.6</v>
      </c>
      <c r="I283" s="598">
        <v>0.45</v>
      </c>
      <c r="J283" s="598">
        <f t="shared" si="24"/>
        <v>2.78</v>
      </c>
      <c r="K283" s="581"/>
    </row>
    <row r="284" spans="1:11">
      <c r="A284" s="568"/>
      <c r="B284" s="593" t="s">
        <v>1103</v>
      </c>
      <c r="C284" s="577"/>
      <c r="D284" s="578">
        <v>1</v>
      </c>
      <c r="E284" s="579" t="s">
        <v>8</v>
      </c>
      <c r="F284" s="569">
        <v>1</v>
      </c>
      <c r="G284" s="598">
        <v>2.5</v>
      </c>
      <c r="H284" s="598">
        <v>2.6</v>
      </c>
      <c r="I284" s="598">
        <v>0.45</v>
      </c>
      <c r="J284" s="598">
        <f t="shared" si="24"/>
        <v>2.9299999999999997</v>
      </c>
      <c r="K284" s="581"/>
    </row>
    <row r="285" spans="1:11">
      <c r="A285" s="568"/>
      <c r="B285" s="593" t="s">
        <v>1104</v>
      </c>
      <c r="C285" s="577"/>
      <c r="D285" s="578">
        <v>1</v>
      </c>
      <c r="E285" s="579" t="s">
        <v>8</v>
      </c>
      <c r="F285" s="569">
        <v>1</v>
      </c>
      <c r="G285" s="598">
        <v>19.77</v>
      </c>
      <c r="H285" s="598">
        <v>1.3</v>
      </c>
      <c r="I285" s="598">
        <v>0.45</v>
      </c>
      <c r="J285" s="598">
        <f t="shared" si="24"/>
        <v>11.57</v>
      </c>
      <c r="K285" s="581"/>
    </row>
    <row r="286" spans="1:11">
      <c r="A286" s="568"/>
      <c r="B286" s="593" t="s">
        <v>1104</v>
      </c>
      <c r="C286" s="577"/>
      <c r="D286" s="578">
        <v>1</v>
      </c>
      <c r="E286" s="579" t="s">
        <v>8</v>
      </c>
      <c r="F286" s="569">
        <v>2</v>
      </c>
      <c r="G286" s="598">
        <v>1.5</v>
      </c>
      <c r="H286" s="598">
        <v>11.5</v>
      </c>
      <c r="I286" s="598">
        <v>0.45</v>
      </c>
      <c r="J286" s="598">
        <f t="shared" si="24"/>
        <v>15.53</v>
      </c>
      <c r="K286" s="581"/>
    </row>
    <row r="287" spans="1:11">
      <c r="A287" s="568"/>
      <c r="B287" s="593" t="s">
        <v>1105</v>
      </c>
      <c r="C287" s="577"/>
      <c r="D287" s="578">
        <v>1</v>
      </c>
      <c r="E287" s="579" t="s">
        <v>8</v>
      </c>
      <c r="F287" s="569">
        <v>1</v>
      </c>
      <c r="G287" s="598">
        <f>4.9+0.9</f>
        <v>5.8000000000000007</v>
      </c>
      <c r="H287" s="598">
        <v>9.6999999999999993</v>
      </c>
      <c r="I287" s="598">
        <v>0.45</v>
      </c>
      <c r="J287" s="598">
        <f t="shared" si="24"/>
        <v>25.32</v>
      </c>
      <c r="K287" s="581"/>
    </row>
    <row r="288" spans="1:11">
      <c r="A288" s="568"/>
      <c r="B288" s="593" t="s">
        <v>21</v>
      </c>
      <c r="C288" s="577"/>
      <c r="D288" s="578">
        <v>1</v>
      </c>
      <c r="E288" s="579" t="s">
        <v>8</v>
      </c>
      <c r="F288" s="569">
        <v>1</v>
      </c>
      <c r="G288" s="598">
        <v>2.5</v>
      </c>
      <c r="H288" s="598">
        <v>1.9</v>
      </c>
      <c r="I288" s="598">
        <v>0.45</v>
      </c>
      <c r="J288" s="598">
        <f t="shared" si="24"/>
        <v>2.1399999999999997</v>
      </c>
      <c r="K288" s="581"/>
    </row>
    <row r="289" spans="1:11">
      <c r="A289" s="568"/>
      <c r="B289" s="593" t="s">
        <v>1106</v>
      </c>
      <c r="C289" s="577"/>
      <c r="D289" s="578">
        <v>1</v>
      </c>
      <c r="E289" s="579" t="s">
        <v>8</v>
      </c>
      <c r="F289" s="569">
        <v>1</v>
      </c>
      <c r="G289" s="598">
        <v>0.8</v>
      </c>
      <c r="H289" s="598">
        <v>1.9</v>
      </c>
      <c r="I289" s="598">
        <v>0.45</v>
      </c>
      <c r="J289" s="598">
        <f t="shared" si="24"/>
        <v>0.69000000000000006</v>
      </c>
      <c r="K289" s="581"/>
    </row>
    <row r="290" spans="1:11">
      <c r="A290" s="568"/>
      <c r="B290" s="593" t="s">
        <v>59</v>
      </c>
      <c r="C290" s="577"/>
      <c r="D290" s="578">
        <v>1</v>
      </c>
      <c r="E290" s="579" t="s">
        <v>8</v>
      </c>
      <c r="F290" s="569">
        <v>1</v>
      </c>
      <c r="G290" s="598">
        <v>16.27</v>
      </c>
      <c r="H290" s="598">
        <v>1.9</v>
      </c>
      <c r="I290" s="598">
        <v>0.45</v>
      </c>
      <c r="J290" s="598">
        <f t="shared" si="24"/>
        <v>13.92</v>
      </c>
      <c r="K290" s="581"/>
    </row>
    <row r="291" spans="1:11">
      <c r="A291" s="568"/>
      <c r="B291" s="593" t="s">
        <v>606</v>
      </c>
      <c r="C291" s="577"/>
      <c r="D291" s="578">
        <v>1</v>
      </c>
      <c r="E291" s="579" t="s">
        <v>8</v>
      </c>
      <c r="F291" s="569">
        <v>1</v>
      </c>
      <c r="G291" s="598">
        <v>16.27</v>
      </c>
      <c r="H291" s="598">
        <v>1.8</v>
      </c>
      <c r="I291" s="598">
        <v>0.45</v>
      </c>
      <c r="J291" s="598">
        <f t="shared" si="24"/>
        <v>13.18</v>
      </c>
      <c r="K291" s="581"/>
    </row>
    <row r="292" spans="1:11">
      <c r="A292" s="568"/>
      <c r="B292" s="593" t="s">
        <v>1107</v>
      </c>
      <c r="C292" s="577"/>
      <c r="D292" s="578">
        <v>1</v>
      </c>
      <c r="E292" s="579" t="s">
        <v>8</v>
      </c>
      <c r="F292" s="569">
        <v>1</v>
      </c>
      <c r="G292" s="598">
        <v>9.27</v>
      </c>
      <c r="H292" s="598">
        <v>7.3</v>
      </c>
      <c r="I292" s="598">
        <v>0.45</v>
      </c>
      <c r="J292" s="598">
        <f t="shared" si="24"/>
        <v>30.46</v>
      </c>
      <c r="K292" s="581"/>
    </row>
    <row r="293" spans="1:11">
      <c r="A293" s="568"/>
      <c r="B293" s="593" t="s">
        <v>1108</v>
      </c>
      <c r="C293" s="577"/>
      <c r="D293" s="578">
        <v>1</v>
      </c>
      <c r="E293" s="579" t="s">
        <v>8</v>
      </c>
      <c r="F293" s="569">
        <v>2</v>
      </c>
      <c r="G293" s="598">
        <f>2.5+0.2+0.8</f>
        <v>3.5</v>
      </c>
      <c r="H293" s="598">
        <f>5.4-0.1-0.2</f>
        <v>5.1000000000000005</v>
      </c>
      <c r="I293" s="598">
        <v>0.45</v>
      </c>
      <c r="J293" s="598">
        <f t="shared" si="24"/>
        <v>16.07</v>
      </c>
      <c r="K293" s="581"/>
    </row>
    <row r="294" spans="1:11">
      <c r="A294" s="568"/>
      <c r="B294" s="593" t="s">
        <v>1109</v>
      </c>
      <c r="C294" s="577"/>
      <c r="D294" s="578">
        <v>1</v>
      </c>
      <c r="E294" s="579" t="s">
        <v>8</v>
      </c>
      <c r="F294" s="569">
        <v>2</v>
      </c>
      <c r="G294" s="598">
        <f>4.1+0.1+2.2</f>
        <v>6.3999999999999995</v>
      </c>
      <c r="H294" s="598">
        <v>3.8</v>
      </c>
      <c r="I294" s="598">
        <v>0.45</v>
      </c>
      <c r="J294" s="598">
        <f t="shared" si="24"/>
        <v>21.89</v>
      </c>
      <c r="K294" s="581"/>
    </row>
    <row r="295" spans="1:11">
      <c r="A295" s="568"/>
      <c r="B295" s="593" t="s">
        <v>1110</v>
      </c>
      <c r="C295" s="577"/>
      <c r="D295" s="578">
        <v>1</v>
      </c>
      <c r="E295" s="579" t="s">
        <v>8</v>
      </c>
      <c r="F295" s="569">
        <v>1</v>
      </c>
      <c r="G295" s="598">
        <f>4.8+0.1+1.5</f>
        <v>6.3999999999999995</v>
      </c>
      <c r="H295" s="598">
        <v>3.8</v>
      </c>
      <c r="I295" s="598">
        <v>0.45</v>
      </c>
      <c r="J295" s="598">
        <f t="shared" si="24"/>
        <v>10.95</v>
      </c>
      <c r="K295" s="581"/>
    </row>
    <row r="296" spans="1:11">
      <c r="A296" s="568"/>
      <c r="B296" s="593" t="s">
        <v>1334</v>
      </c>
      <c r="C296" s="577"/>
      <c r="G296" s="612"/>
      <c r="H296" s="598"/>
      <c r="I296" s="598"/>
      <c r="J296" s="598"/>
      <c r="K296" s="581"/>
    </row>
    <row r="297" spans="1:11">
      <c r="A297" s="568"/>
      <c r="B297" s="593" t="s">
        <v>1338</v>
      </c>
      <c r="C297" s="577"/>
      <c r="D297" s="578">
        <v>1</v>
      </c>
      <c r="E297" s="579" t="s">
        <v>8</v>
      </c>
      <c r="F297" s="569">
        <v>2</v>
      </c>
      <c r="G297" s="598">
        <v>2.5</v>
      </c>
      <c r="H297" s="598">
        <v>2</v>
      </c>
      <c r="I297" s="598">
        <v>0.45</v>
      </c>
      <c r="J297" s="598">
        <f t="shared" ref="J297:J298" si="25">ROUNDUP(PRODUCT(D297:I297),2)</f>
        <v>4.5</v>
      </c>
      <c r="K297" s="581"/>
    </row>
    <row r="298" spans="1:11">
      <c r="A298" s="568"/>
      <c r="B298" s="593" t="s">
        <v>13</v>
      </c>
      <c r="C298" s="577"/>
      <c r="D298" s="578">
        <v>1</v>
      </c>
      <c r="E298" s="579" t="s">
        <v>8</v>
      </c>
      <c r="F298" s="569">
        <v>1</v>
      </c>
      <c r="G298" s="598">
        <v>1.2</v>
      </c>
      <c r="H298" s="598">
        <v>2</v>
      </c>
      <c r="I298" s="598">
        <v>0.45</v>
      </c>
      <c r="J298" s="598">
        <f t="shared" si="25"/>
        <v>1.08</v>
      </c>
      <c r="K298" s="581"/>
    </row>
    <row r="299" spans="1:11">
      <c r="A299" s="568"/>
      <c r="B299" s="593"/>
      <c r="C299" s="577"/>
      <c r="G299" s="612"/>
      <c r="H299" s="598"/>
      <c r="I299" s="598"/>
      <c r="J299" s="614">
        <f>SUM(J273:J298)</f>
        <v>279.66999999999996</v>
      </c>
      <c r="K299" s="581"/>
    </row>
    <row r="300" spans="1:11">
      <c r="A300" s="568"/>
      <c r="B300" s="610" t="s">
        <v>28</v>
      </c>
      <c r="C300" s="577"/>
      <c r="G300" s="612"/>
      <c r="H300" s="598"/>
      <c r="I300" s="598"/>
      <c r="J300" s="605">
        <f>ROUNDUP(J299,0)</f>
        <v>280</v>
      </c>
      <c r="K300" s="576" t="s">
        <v>52</v>
      </c>
    </row>
    <row r="301" spans="1:11">
      <c r="A301" s="568"/>
      <c r="B301" s="593"/>
      <c r="C301" s="577"/>
      <c r="G301" s="612"/>
      <c r="H301" s="598"/>
      <c r="I301" s="598"/>
      <c r="J301" s="598"/>
      <c r="K301" s="581"/>
    </row>
    <row r="302" spans="1:11" s="575" customFormat="1" ht="141.6" customHeight="1">
      <c r="A302" s="583">
        <f>A135+1</f>
        <v>3</v>
      </c>
      <c r="B302" s="723" t="str">
        <f>'BOQ-C&amp;I'!C21</f>
        <v>Carting away the surplus earth excavated from the basement foundations / footings in the campus, is to be carted away to the desired lead of 20 kms from the site . The rate shall include loading into the tipper/ lorry, transporting and unloading etc., complete with all respects complying with relevant standard specification, as directed by the   departmental officers. Rate to include materials, loading, unloading, transportation, plant and machinery, hire and fuel charges for tools and plants and other incidental charges, royalties, seignorage and taking statutory approvals as necessary to carry out the work as complete with all respects complying with relevant standard specification, as directed by the departmental officers.</v>
      </c>
      <c r="C302" s="723"/>
      <c r="D302" s="723"/>
      <c r="E302" s="723"/>
      <c r="F302" s="723"/>
      <c r="G302" s="723"/>
      <c r="H302" s="723"/>
      <c r="I302" s="723"/>
      <c r="J302" s="723"/>
      <c r="K302" s="723"/>
    </row>
    <row r="303" spans="1:11">
      <c r="A303" s="568"/>
      <c r="B303" s="584" t="s">
        <v>492</v>
      </c>
      <c r="C303" s="577"/>
      <c r="G303" s="612"/>
      <c r="H303" s="598"/>
      <c r="I303" s="598"/>
      <c r="J303" s="598">
        <f>J121+J127+J131+J134+J118+J111</f>
        <v>1272</v>
      </c>
      <c r="K303" s="581"/>
    </row>
    <row r="304" spans="1:11">
      <c r="A304" s="568"/>
      <c r="B304" s="593" t="s">
        <v>493</v>
      </c>
      <c r="C304" s="577"/>
      <c r="G304" s="612"/>
      <c r="H304" s="598"/>
      <c r="I304" s="598"/>
      <c r="J304" s="598">
        <f>-J269</f>
        <v>-144</v>
      </c>
      <c r="K304" s="581"/>
    </row>
    <row r="305" spans="1:11">
      <c r="A305" s="568"/>
      <c r="B305" s="593" t="s">
        <v>494</v>
      </c>
      <c r="C305" s="577"/>
      <c r="G305" s="612"/>
      <c r="H305" s="598"/>
      <c r="I305" s="598"/>
      <c r="J305" s="598">
        <f>-J425</f>
        <v>-81</v>
      </c>
      <c r="K305" s="581"/>
    </row>
    <row r="306" spans="1:11">
      <c r="A306" s="568"/>
      <c r="B306" s="593" t="s">
        <v>660</v>
      </c>
      <c r="C306" s="577"/>
      <c r="G306" s="612"/>
      <c r="H306" s="598"/>
      <c r="I306" s="598"/>
      <c r="J306" s="598">
        <f>-J470-J556-J581</f>
        <v>-413</v>
      </c>
      <c r="K306" s="581"/>
    </row>
    <row r="307" spans="1:11">
      <c r="A307" s="568"/>
      <c r="B307" s="593" t="s">
        <v>496</v>
      </c>
      <c r="C307" s="577"/>
      <c r="G307" s="612"/>
      <c r="H307" s="598"/>
      <c r="I307" s="598"/>
      <c r="J307" s="614">
        <f>SUM(J303:J306)</f>
        <v>634</v>
      </c>
      <c r="K307" s="581"/>
    </row>
    <row r="308" spans="1:11" ht="36">
      <c r="A308" s="568"/>
      <c r="B308" s="593" t="s">
        <v>497</v>
      </c>
      <c r="C308" s="577"/>
      <c r="G308" s="612"/>
      <c r="H308" s="598"/>
      <c r="I308" s="598"/>
      <c r="J308" s="614">
        <f>J303-J307</f>
        <v>638</v>
      </c>
      <c r="K308" s="576" t="s">
        <v>52</v>
      </c>
    </row>
    <row r="309" spans="1:11">
      <c r="A309" s="568"/>
      <c r="B309" s="593"/>
      <c r="C309" s="577"/>
      <c r="G309" s="612"/>
      <c r="H309" s="598"/>
      <c r="I309" s="598"/>
      <c r="J309" s="598"/>
      <c r="K309" s="581"/>
    </row>
    <row r="310" spans="1:11">
      <c r="A310" s="568"/>
      <c r="B310" s="746" t="str">
        <f>'BOQ-C&amp;I'!C23</f>
        <v>ANTI-TERMITE TREATMENT</v>
      </c>
      <c r="C310" s="747"/>
      <c r="D310" s="747"/>
      <c r="E310" s="747"/>
      <c r="F310" s="747"/>
      <c r="G310" s="747"/>
      <c r="H310" s="747"/>
      <c r="I310" s="747"/>
      <c r="J310" s="747"/>
      <c r="K310" s="748"/>
    </row>
    <row r="311" spans="1:11" s="575" customFormat="1" ht="157.9" customHeight="1">
      <c r="A311" s="583">
        <f>A302+1</f>
        <v>4</v>
      </c>
      <c r="B311" s="723" t="str">
        <f>'BOQ-C&amp;I'!C24</f>
        <v xml:space="preserve">Providing Pre - construction Anti - termite treatment and creating a chemical barrier to the building by injecting chemical emulsion of required concentration under grade slab and grade beam and below the ground level as well as outside all-round the building at plinth level etc as per the instructions of manufacturer and as directed by the departmental officers.  The treatment shall be carried out strictly in accordance with the technical specification and conforming to IS 6313 or equivalent BS specification.  The chemical to be used as insecticide for the treatment shall be Biflex Tc and the application shall be diluted 1 part of chemical Biflex Tc with 49 parts of water to get 0.05% emulsion and strictly in accordance with the manufacturer’s specification. </v>
      </c>
      <c r="C311" s="723"/>
      <c r="D311" s="723"/>
      <c r="E311" s="723"/>
      <c r="F311" s="723"/>
      <c r="G311" s="723"/>
      <c r="H311" s="723"/>
      <c r="I311" s="723"/>
      <c r="J311" s="723"/>
      <c r="K311" s="723"/>
    </row>
    <row r="312" spans="1:11" s="575" customFormat="1" ht="83.45" customHeight="1">
      <c r="A312" s="583"/>
      <c r="B312" s="723" t="str">
        <f>'BOQ-C&amp;I'!C25</f>
        <v>The work should be carried out by an approved and registered specialist pest control agency only. Tenderer to furnish the name of the proposed specialist firm. A 10 years post application guarantee against defects shall be furnished by the main Contractor. Note : Horizontal plan area at ground floor level of the building will be measured and paid.</v>
      </c>
      <c r="C312" s="723"/>
      <c r="D312" s="723"/>
      <c r="E312" s="723"/>
      <c r="F312" s="723"/>
      <c r="G312" s="723"/>
      <c r="H312" s="723"/>
      <c r="I312" s="723"/>
      <c r="J312" s="723"/>
      <c r="K312" s="723"/>
    </row>
    <row r="313" spans="1:11" s="575" customFormat="1" ht="61.15" customHeight="1">
      <c r="A313" s="583"/>
      <c r="B313" s="723" t="str">
        <f>'BOQ-C&amp;I'!C26</f>
        <v>The chemical to be used for the treatment and concentration of the chemical solutions should be as laid down in IS - 6313 Part II.as complete with all respects complying with relevant standard specification, as directed by the departmental officers.</v>
      </c>
      <c r="C313" s="723"/>
      <c r="D313" s="723"/>
      <c r="E313" s="723"/>
      <c r="F313" s="723"/>
      <c r="G313" s="723"/>
      <c r="H313" s="723"/>
      <c r="I313" s="723"/>
      <c r="J313" s="723"/>
      <c r="K313" s="723"/>
    </row>
    <row r="314" spans="1:11">
      <c r="A314" s="568"/>
      <c r="B314" s="593" t="s">
        <v>53</v>
      </c>
      <c r="C314" s="577"/>
      <c r="D314" s="578">
        <v>1</v>
      </c>
      <c r="E314" s="579" t="s">
        <v>8</v>
      </c>
      <c r="F314" s="569">
        <v>1</v>
      </c>
      <c r="G314" s="724">
        <v>630</v>
      </c>
      <c r="H314" s="724"/>
      <c r="I314" s="598"/>
      <c r="J314" s="598">
        <f t="shared" ref="J314" si="26">ROUNDUP(PRODUCT(D314:I314),2)</f>
        <v>630</v>
      </c>
      <c r="K314" s="581"/>
    </row>
    <row r="315" spans="1:11">
      <c r="A315" s="568"/>
      <c r="B315" s="593"/>
      <c r="C315" s="577"/>
      <c r="G315" s="612"/>
      <c r="H315" s="598"/>
      <c r="I315" s="598"/>
      <c r="J315" s="614">
        <f>SUM(J314:J314)</f>
        <v>630</v>
      </c>
      <c r="K315" s="581"/>
    </row>
    <row r="316" spans="1:11">
      <c r="A316" s="568"/>
      <c r="B316" s="610" t="s">
        <v>28</v>
      </c>
      <c r="C316" s="577"/>
      <c r="G316" s="612"/>
      <c r="H316" s="598"/>
      <c r="I316" s="598"/>
      <c r="J316" s="605">
        <f>ROUNDUP(J315,0)</f>
        <v>630</v>
      </c>
      <c r="K316" s="576" t="s">
        <v>9</v>
      </c>
    </row>
    <row r="317" spans="1:11">
      <c r="A317" s="568"/>
      <c r="B317" s="593"/>
      <c r="C317" s="577"/>
      <c r="G317" s="612"/>
      <c r="H317" s="598"/>
      <c r="I317" s="598"/>
      <c r="J317" s="598"/>
      <c r="K317" s="581"/>
    </row>
    <row r="318" spans="1:11">
      <c r="A318" s="568"/>
      <c r="B318" s="584" t="str">
        <f>'BOQ-C&amp;I'!C28</f>
        <v>CONCRETE WORKS</v>
      </c>
      <c r="C318" s="577"/>
      <c r="G318" s="612"/>
      <c r="H318" s="598"/>
      <c r="I318" s="598"/>
      <c r="J318" s="598"/>
      <c r="K318" s="581"/>
    </row>
    <row r="319" spans="1:11" s="575" customFormat="1" ht="110.45" customHeight="1">
      <c r="A319" s="583">
        <f>+A311+1</f>
        <v>5</v>
      </c>
      <c r="B319" s="723" t="str">
        <f>'BOQ-C&amp;I'!C29</f>
        <v>Providing and laying Plain Cement Concrete 1:4:8 (1 of cement : 4 of M.Sand : 8 of hard broken stone jelly) using coarse graded aggregate of 40 mm for levelling course under footing, pile cap, steps, walls, raft, retaining wall, drains, kerb and median, platform etc. including all shuttering materials, labour charges, wastages , mixing, curing compaction, transportation,  necessary lead and lifts etc. as complete with all respects complying with relevant standard specification as per IS 456-2000 and as directed by the   departmental officers.</v>
      </c>
      <c r="C319" s="723"/>
      <c r="D319" s="723"/>
      <c r="E319" s="723"/>
      <c r="F319" s="723"/>
      <c r="G319" s="723"/>
      <c r="H319" s="723"/>
      <c r="I319" s="723"/>
      <c r="J319" s="723"/>
      <c r="K319" s="723"/>
    </row>
    <row r="320" spans="1:11">
      <c r="A320" s="568"/>
      <c r="B320" s="593" t="s">
        <v>648</v>
      </c>
      <c r="C320" s="589"/>
      <c r="G320" s="590"/>
      <c r="H320" s="591"/>
      <c r="I320" s="591"/>
      <c r="J320" s="591"/>
      <c r="K320" s="592"/>
    </row>
    <row r="321" spans="1:11">
      <c r="A321" s="568"/>
      <c r="B321" s="593" t="s">
        <v>649</v>
      </c>
      <c r="C321" s="589"/>
      <c r="D321" s="578">
        <v>1</v>
      </c>
      <c r="E321" s="579" t="s">
        <v>8</v>
      </c>
      <c r="F321" s="569">
        <v>5</v>
      </c>
      <c r="G321" s="594">
        <f>3.3+0.2</f>
        <v>3.5</v>
      </c>
      <c r="H321" s="595">
        <f>2.3+0.2</f>
        <v>2.5</v>
      </c>
      <c r="I321" s="596">
        <v>0.1</v>
      </c>
      <c r="J321" s="597">
        <f>PRODUCT(D321:I321)</f>
        <v>4.375</v>
      </c>
      <c r="K321" s="592"/>
    </row>
    <row r="322" spans="1:11">
      <c r="A322" s="568"/>
      <c r="B322" s="593" t="s">
        <v>650</v>
      </c>
      <c r="C322" s="589"/>
      <c r="D322" s="578">
        <v>1</v>
      </c>
      <c r="E322" s="579" t="s">
        <v>8</v>
      </c>
      <c r="F322" s="569">
        <v>2</v>
      </c>
      <c r="G322" s="594">
        <f>2.55+0.2</f>
        <v>2.75</v>
      </c>
      <c r="H322" s="594">
        <f>2.55+0.2</f>
        <v>2.75</v>
      </c>
      <c r="I322" s="596">
        <v>0.1</v>
      </c>
      <c r="J322" s="597">
        <f>PRODUCT(D322:I322)</f>
        <v>1.5125000000000002</v>
      </c>
      <c r="K322" s="592"/>
    </row>
    <row r="323" spans="1:11">
      <c r="A323" s="568"/>
      <c r="B323" s="593" t="s">
        <v>651</v>
      </c>
      <c r="C323" s="589"/>
      <c r="D323" s="578">
        <v>1</v>
      </c>
      <c r="E323" s="579" t="s">
        <v>8</v>
      </c>
      <c r="F323" s="569">
        <v>7</v>
      </c>
      <c r="G323" s="598">
        <f>2.8+0.2</f>
        <v>3</v>
      </c>
      <c r="H323" s="598">
        <f>2.1+0.2</f>
        <v>2.3000000000000003</v>
      </c>
      <c r="I323" s="596">
        <v>0.1</v>
      </c>
      <c r="J323" s="597">
        <f>PRODUCT(D323:I323)</f>
        <v>4.830000000000001</v>
      </c>
      <c r="K323" s="592"/>
    </row>
    <row r="324" spans="1:11">
      <c r="A324" s="568"/>
      <c r="B324" s="593" t="s">
        <v>652</v>
      </c>
      <c r="C324" s="589"/>
      <c r="D324" s="578">
        <v>1</v>
      </c>
      <c r="E324" s="579" t="s">
        <v>8</v>
      </c>
      <c r="F324" s="569">
        <v>1</v>
      </c>
      <c r="G324" s="594">
        <f>3.2+0.2</f>
        <v>3.4000000000000004</v>
      </c>
      <c r="H324" s="594">
        <f>2.5+0.2</f>
        <v>2.7</v>
      </c>
      <c r="I324" s="596">
        <v>0.1</v>
      </c>
      <c r="J324" s="597">
        <f>PRODUCT(D324:I324)</f>
        <v>0.91800000000000015</v>
      </c>
      <c r="K324" s="592"/>
    </row>
    <row r="325" spans="1:11">
      <c r="A325" s="568"/>
      <c r="B325" s="593" t="s">
        <v>653</v>
      </c>
      <c r="C325" s="589"/>
      <c r="D325" s="578">
        <v>1</v>
      </c>
      <c r="E325" s="579" t="s">
        <v>8</v>
      </c>
      <c r="F325" s="569">
        <v>1</v>
      </c>
      <c r="G325" s="594">
        <f>2.5+0.2</f>
        <v>2.7</v>
      </c>
      <c r="H325" s="594">
        <f>2.5+0.2</f>
        <v>2.7</v>
      </c>
      <c r="I325" s="596">
        <v>0.1</v>
      </c>
      <c r="J325" s="597">
        <f t="shared" ref="J325:J346" si="27">PRODUCT(D325:I325)</f>
        <v>0.72900000000000009</v>
      </c>
      <c r="K325" s="592"/>
    </row>
    <row r="326" spans="1:11">
      <c r="A326" s="568"/>
      <c r="B326" s="593" t="s">
        <v>654</v>
      </c>
      <c r="C326" s="589"/>
      <c r="D326" s="578">
        <v>1</v>
      </c>
      <c r="E326" s="579" t="s">
        <v>8</v>
      </c>
      <c r="F326" s="569">
        <v>2</v>
      </c>
      <c r="G326" s="594">
        <f>1.85+0.2</f>
        <v>2.0500000000000003</v>
      </c>
      <c r="H326" s="594">
        <f>1.45+0.2</f>
        <v>1.65</v>
      </c>
      <c r="I326" s="596">
        <v>0.1</v>
      </c>
      <c r="J326" s="597">
        <f t="shared" si="27"/>
        <v>0.6765000000000001</v>
      </c>
      <c r="K326" s="592"/>
    </row>
    <row r="327" spans="1:11">
      <c r="A327" s="568"/>
      <c r="B327" s="593" t="s">
        <v>655</v>
      </c>
      <c r="C327" s="589"/>
      <c r="D327" s="578">
        <v>1</v>
      </c>
      <c r="E327" s="579" t="s">
        <v>8</v>
      </c>
      <c r="F327" s="569">
        <v>1</v>
      </c>
      <c r="G327" s="594">
        <f>3.2+0.2</f>
        <v>3.4000000000000004</v>
      </c>
      <c r="H327" s="594">
        <f>2.6+0.2</f>
        <v>2.8000000000000003</v>
      </c>
      <c r="I327" s="596">
        <v>0.1</v>
      </c>
      <c r="J327" s="597">
        <f t="shared" si="27"/>
        <v>0.95200000000000018</v>
      </c>
      <c r="K327" s="592"/>
    </row>
    <row r="328" spans="1:11">
      <c r="A328" s="568"/>
      <c r="B328" s="593" t="s">
        <v>1006</v>
      </c>
      <c r="C328" s="589"/>
      <c r="D328" s="578">
        <v>1</v>
      </c>
      <c r="E328" s="579" t="s">
        <v>8</v>
      </c>
      <c r="F328" s="569">
        <v>2</v>
      </c>
      <c r="G328" s="594">
        <f>2.5+0.2</f>
        <v>2.7</v>
      </c>
      <c r="H328" s="594">
        <f>1.9+0.2</f>
        <v>2.1</v>
      </c>
      <c r="I328" s="596">
        <v>0.1</v>
      </c>
      <c r="J328" s="597">
        <f t="shared" si="27"/>
        <v>1.1340000000000001</v>
      </c>
      <c r="K328" s="592"/>
    </row>
    <row r="329" spans="1:11">
      <c r="A329" s="568"/>
      <c r="B329" s="593" t="s">
        <v>1007</v>
      </c>
      <c r="C329" s="589"/>
      <c r="D329" s="578">
        <v>1</v>
      </c>
      <c r="E329" s="579" t="s">
        <v>8</v>
      </c>
      <c r="F329" s="569">
        <v>1</v>
      </c>
      <c r="G329" s="594">
        <f>3.65+0.2</f>
        <v>3.85</v>
      </c>
      <c r="H329" s="594">
        <f>2.65+0.2</f>
        <v>2.85</v>
      </c>
      <c r="I329" s="596">
        <v>0.1</v>
      </c>
      <c r="J329" s="597">
        <f t="shared" si="27"/>
        <v>1.0972500000000001</v>
      </c>
      <c r="K329" s="592"/>
    </row>
    <row r="330" spans="1:11">
      <c r="A330" s="568"/>
      <c r="B330" s="593" t="s">
        <v>1008</v>
      </c>
      <c r="C330" s="589"/>
      <c r="D330" s="578">
        <v>1</v>
      </c>
      <c r="E330" s="579" t="s">
        <v>8</v>
      </c>
      <c r="F330" s="569">
        <v>1</v>
      </c>
      <c r="G330" s="594">
        <f>2.5+0.2</f>
        <v>2.7</v>
      </c>
      <c r="H330" s="594">
        <f>1.4+0.2</f>
        <v>1.5999999999999999</v>
      </c>
      <c r="I330" s="596">
        <v>0.1</v>
      </c>
      <c r="J330" s="597">
        <f t="shared" si="27"/>
        <v>0.43200000000000005</v>
      </c>
      <c r="K330" s="592"/>
    </row>
    <row r="331" spans="1:11">
      <c r="A331" s="568"/>
      <c r="B331" s="593" t="s">
        <v>1009</v>
      </c>
      <c r="C331" s="589"/>
      <c r="D331" s="578">
        <v>1</v>
      </c>
      <c r="E331" s="579" t="s">
        <v>8</v>
      </c>
      <c r="F331" s="569">
        <v>6</v>
      </c>
      <c r="G331" s="594">
        <f>1.5+0.2</f>
        <v>1.7</v>
      </c>
      <c r="H331" s="594">
        <f>1.2+0.2</f>
        <v>1.4</v>
      </c>
      <c r="I331" s="596">
        <v>0.1</v>
      </c>
      <c r="J331" s="597">
        <f t="shared" si="27"/>
        <v>1.4279999999999999</v>
      </c>
      <c r="K331" s="592"/>
    </row>
    <row r="332" spans="1:11">
      <c r="A332" s="568"/>
      <c r="B332" s="593" t="s">
        <v>1010</v>
      </c>
      <c r="C332" s="589"/>
      <c r="D332" s="578">
        <v>1</v>
      </c>
      <c r="E332" s="579" t="s">
        <v>8</v>
      </c>
      <c r="F332" s="569">
        <v>1</v>
      </c>
      <c r="G332" s="594">
        <f>2.9+0.2</f>
        <v>3.1</v>
      </c>
      <c r="H332" s="594">
        <f>2.7+0.2</f>
        <v>2.9000000000000004</v>
      </c>
      <c r="I332" s="596">
        <v>0.1</v>
      </c>
      <c r="J332" s="597">
        <f t="shared" si="27"/>
        <v>0.89900000000000024</v>
      </c>
      <c r="K332" s="592"/>
    </row>
    <row r="333" spans="1:11">
      <c r="A333" s="568"/>
      <c r="B333" s="593" t="s">
        <v>1011</v>
      </c>
      <c r="C333" s="589"/>
      <c r="D333" s="578">
        <v>1</v>
      </c>
      <c r="E333" s="579" t="s">
        <v>8</v>
      </c>
      <c r="F333" s="569">
        <v>2</v>
      </c>
      <c r="G333" s="594">
        <f>2.2+0.2</f>
        <v>2.4000000000000004</v>
      </c>
      <c r="H333" s="594">
        <f>1.65+0.2</f>
        <v>1.8499999999999999</v>
      </c>
      <c r="I333" s="596">
        <v>0.1</v>
      </c>
      <c r="J333" s="597">
        <f t="shared" si="27"/>
        <v>0.88800000000000012</v>
      </c>
      <c r="K333" s="592"/>
    </row>
    <row r="334" spans="1:11">
      <c r="A334" s="568"/>
      <c r="B334" s="593" t="s">
        <v>1012</v>
      </c>
      <c r="C334" s="589"/>
      <c r="D334" s="578">
        <v>1</v>
      </c>
      <c r="E334" s="579" t="s">
        <v>8</v>
      </c>
      <c r="F334" s="569">
        <v>2</v>
      </c>
      <c r="G334" s="594">
        <f>2.15+0.2</f>
        <v>2.35</v>
      </c>
      <c r="H334" s="594">
        <f>2.15+0.2</f>
        <v>2.35</v>
      </c>
      <c r="I334" s="596">
        <v>0.1</v>
      </c>
      <c r="J334" s="597">
        <f t="shared" si="27"/>
        <v>1.1045000000000003</v>
      </c>
      <c r="K334" s="592"/>
    </row>
    <row r="335" spans="1:11">
      <c r="A335" s="568"/>
      <c r="B335" s="593" t="s">
        <v>1013</v>
      </c>
      <c r="C335" s="589"/>
      <c r="D335" s="578">
        <v>1</v>
      </c>
      <c r="E335" s="579" t="s">
        <v>8</v>
      </c>
      <c r="F335" s="569">
        <v>2</v>
      </c>
      <c r="G335" s="594">
        <f>1.75+0.2</f>
        <v>1.95</v>
      </c>
      <c r="H335" s="594">
        <f>1.55+0.2</f>
        <v>1.75</v>
      </c>
      <c r="I335" s="596">
        <v>0.1</v>
      </c>
      <c r="J335" s="597">
        <f t="shared" si="27"/>
        <v>0.68250000000000011</v>
      </c>
      <c r="K335" s="592"/>
    </row>
    <row r="336" spans="1:11">
      <c r="A336" s="568"/>
      <c r="B336" s="593" t="s">
        <v>1014</v>
      </c>
      <c r="C336" s="589"/>
      <c r="D336" s="578">
        <v>1</v>
      </c>
      <c r="E336" s="579" t="s">
        <v>8</v>
      </c>
      <c r="F336" s="569">
        <v>2</v>
      </c>
      <c r="G336" s="594">
        <f>2.35+0.2</f>
        <v>2.5500000000000003</v>
      </c>
      <c r="H336" s="594">
        <f>2.35+0.2</f>
        <v>2.5500000000000003</v>
      </c>
      <c r="I336" s="596">
        <v>0.1</v>
      </c>
      <c r="J336" s="597">
        <f t="shared" si="27"/>
        <v>1.3005000000000004</v>
      </c>
      <c r="K336" s="592"/>
    </row>
    <row r="337" spans="1:11">
      <c r="A337" s="568"/>
      <c r="B337" s="593" t="s">
        <v>1015</v>
      </c>
      <c r="C337" s="589"/>
      <c r="D337" s="578">
        <v>1</v>
      </c>
      <c r="E337" s="579" t="s">
        <v>8</v>
      </c>
      <c r="F337" s="569">
        <v>1</v>
      </c>
      <c r="G337" s="594">
        <f>3+0.2</f>
        <v>3.2</v>
      </c>
      <c r="H337" s="594">
        <f>2.5+0.2</f>
        <v>2.7</v>
      </c>
      <c r="I337" s="596">
        <v>0.1</v>
      </c>
      <c r="J337" s="597">
        <f t="shared" si="27"/>
        <v>0.8640000000000001</v>
      </c>
      <c r="K337" s="592"/>
    </row>
    <row r="338" spans="1:11">
      <c r="A338" s="568"/>
      <c r="B338" s="593" t="s">
        <v>1016</v>
      </c>
      <c r="C338" s="589"/>
      <c r="D338" s="578">
        <v>1</v>
      </c>
      <c r="E338" s="579" t="s">
        <v>8</v>
      </c>
      <c r="F338" s="569">
        <v>4</v>
      </c>
      <c r="G338" s="594">
        <f>1+0.2</f>
        <v>1.2</v>
      </c>
      <c r="H338" s="594">
        <f>1+0.2</f>
        <v>1.2</v>
      </c>
      <c r="I338" s="596">
        <v>0.1</v>
      </c>
      <c r="J338" s="597">
        <f t="shared" si="27"/>
        <v>0.57599999999999996</v>
      </c>
      <c r="K338" s="592"/>
    </row>
    <row r="339" spans="1:11">
      <c r="A339" s="568"/>
      <c r="B339" s="593" t="s">
        <v>656</v>
      </c>
      <c r="C339" s="589"/>
      <c r="D339" s="578">
        <v>1</v>
      </c>
      <c r="E339" s="579" t="s">
        <v>8</v>
      </c>
      <c r="F339" s="569">
        <v>1</v>
      </c>
      <c r="G339" s="598">
        <f>5+0.2</f>
        <v>5.2</v>
      </c>
      <c r="H339" s="598">
        <f>1.75+0.2</f>
        <v>1.95</v>
      </c>
      <c r="I339" s="596">
        <v>0.1</v>
      </c>
      <c r="J339" s="597">
        <f t="shared" si="27"/>
        <v>1.014</v>
      </c>
      <c r="K339" s="592"/>
    </row>
    <row r="340" spans="1:11">
      <c r="A340" s="568"/>
      <c r="B340" s="593" t="s">
        <v>657</v>
      </c>
      <c r="C340" s="589"/>
      <c r="D340" s="578">
        <v>1</v>
      </c>
      <c r="E340" s="579" t="s">
        <v>8</v>
      </c>
      <c r="F340" s="569">
        <v>1</v>
      </c>
      <c r="G340" s="594">
        <f>4.9+0.2</f>
        <v>5.1000000000000005</v>
      </c>
      <c r="H340" s="594">
        <f>2.9+0.2</f>
        <v>3.1</v>
      </c>
      <c r="I340" s="596">
        <v>0.1</v>
      </c>
      <c r="J340" s="597">
        <f t="shared" si="27"/>
        <v>1.5810000000000004</v>
      </c>
      <c r="K340" s="592"/>
    </row>
    <row r="341" spans="1:11">
      <c r="A341" s="568"/>
      <c r="B341" s="593" t="s">
        <v>658</v>
      </c>
      <c r="C341" s="589"/>
      <c r="D341" s="578">
        <v>1</v>
      </c>
      <c r="E341" s="579" t="s">
        <v>8</v>
      </c>
      <c r="F341" s="569">
        <v>1</v>
      </c>
      <c r="G341" s="594">
        <f>7.65+0.2</f>
        <v>7.8500000000000005</v>
      </c>
      <c r="H341" s="594">
        <f>3.3+0.2</f>
        <v>3.5</v>
      </c>
      <c r="I341" s="596">
        <v>0.1</v>
      </c>
      <c r="J341" s="597">
        <f t="shared" si="27"/>
        <v>2.7475000000000005</v>
      </c>
      <c r="K341" s="592"/>
    </row>
    <row r="342" spans="1:11">
      <c r="A342" s="568"/>
      <c r="B342" s="593" t="s">
        <v>1017</v>
      </c>
      <c r="C342" s="589"/>
      <c r="D342" s="578">
        <v>1</v>
      </c>
      <c r="E342" s="579" t="s">
        <v>8</v>
      </c>
      <c r="F342" s="569">
        <v>1</v>
      </c>
      <c r="G342" s="594">
        <f>5.5+0.2</f>
        <v>5.7</v>
      </c>
      <c r="H342" s="594">
        <f>2.8+0.2</f>
        <v>3</v>
      </c>
      <c r="I342" s="596">
        <v>0.1</v>
      </c>
      <c r="J342" s="597">
        <f t="shared" si="27"/>
        <v>1.7100000000000002</v>
      </c>
      <c r="K342" s="592"/>
    </row>
    <row r="343" spans="1:11">
      <c r="A343" s="568"/>
      <c r="B343" s="593" t="s">
        <v>1018</v>
      </c>
      <c r="C343" s="589"/>
      <c r="D343" s="578">
        <v>1</v>
      </c>
      <c r="E343" s="579" t="s">
        <v>8</v>
      </c>
      <c r="F343" s="569">
        <v>1</v>
      </c>
      <c r="G343" s="596">
        <f>5.85+0.2</f>
        <v>6.05</v>
      </c>
      <c r="H343" s="596">
        <f>2.45+0.2</f>
        <v>2.6500000000000004</v>
      </c>
      <c r="I343" s="596">
        <v>0.1</v>
      </c>
      <c r="J343" s="597">
        <f t="shared" si="27"/>
        <v>1.6032500000000003</v>
      </c>
      <c r="K343" s="592"/>
    </row>
    <row r="344" spans="1:11">
      <c r="A344" s="568"/>
      <c r="B344" s="581" t="s">
        <v>1019</v>
      </c>
      <c r="C344" s="581"/>
      <c r="D344" s="578">
        <v>1</v>
      </c>
      <c r="E344" s="579" t="s">
        <v>8</v>
      </c>
      <c r="F344" s="569">
        <v>1</v>
      </c>
      <c r="G344" s="596">
        <f>5.8+0.2</f>
        <v>6</v>
      </c>
      <c r="H344" s="596">
        <f>5.7+0.2</f>
        <v>5.9</v>
      </c>
      <c r="I344" s="596">
        <v>0.1</v>
      </c>
      <c r="J344" s="597">
        <f t="shared" si="27"/>
        <v>3.5400000000000009</v>
      </c>
      <c r="K344" s="592"/>
    </row>
    <row r="345" spans="1:11">
      <c r="A345" s="568"/>
      <c r="B345" s="581" t="s">
        <v>1020</v>
      </c>
      <c r="C345" s="581"/>
      <c r="D345" s="578">
        <v>1</v>
      </c>
      <c r="E345" s="579" t="s">
        <v>8</v>
      </c>
      <c r="F345" s="569">
        <v>1</v>
      </c>
      <c r="G345" s="715">
        <f>30398772/1000000</f>
        <v>30.398772000000001</v>
      </c>
      <c r="H345" s="716"/>
      <c r="I345" s="596">
        <v>0.1</v>
      </c>
      <c r="J345" s="597">
        <f t="shared" si="27"/>
        <v>3.0398772000000003</v>
      </c>
      <c r="K345" s="592"/>
    </row>
    <row r="346" spans="1:11">
      <c r="A346" s="568"/>
      <c r="B346" s="581" t="s">
        <v>1021</v>
      </c>
      <c r="C346" s="581"/>
      <c r="D346" s="578">
        <v>1</v>
      </c>
      <c r="E346" s="579" t="s">
        <v>8</v>
      </c>
      <c r="F346" s="569">
        <v>1</v>
      </c>
      <c r="G346" s="603">
        <f>5.025+0.2</f>
        <v>5.2250000000000005</v>
      </c>
      <c r="H346" s="603">
        <f>4.125+0.2</f>
        <v>4.3250000000000002</v>
      </c>
      <c r="I346" s="596">
        <v>0.1</v>
      </c>
      <c r="J346" s="597">
        <f t="shared" si="27"/>
        <v>2.2598125000000002</v>
      </c>
      <c r="K346" s="592"/>
    </row>
    <row r="347" spans="1:11">
      <c r="A347" s="568"/>
      <c r="B347" s="581" t="s">
        <v>1421</v>
      </c>
      <c r="C347" s="581"/>
      <c r="G347" s="603"/>
      <c r="H347" s="603"/>
      <c r="I347" s="596"/>
      <c r="J347" s="597"/>
      <c r="K347" s="592"/>
    </row>
    <row r="348" spans="1:11">
      <c r="A348" s="568"/>
      <c r="B348" s="593" t="s">
        <v>650</v>
      </c>
      <c r="C348" s="599"/>
      <c r="D348" s="578">
        <v>1</v>
      </c>
      <c r="E348" s="579" t="s">
        <v>8</v>
      </c>
      <c r="F348" s="569">
        <v>2</v>
      </c>
      <c r="G348" s="600">
        <v>1.7</v>
      </c>
      <c r="H348" s="600">
        <v>1.7</v>
      </c>
      <c r="I348" s="600">
        <v>0.1</v>
      </c>
      <c r="J348" s="597">
        <f t="shared" ref="J348:J350" si="28">PRODUCT(D348:I348)</f>
        <v>0.57799999999999996</v>
      </c>
      <c r="K348" s="568"/>
    </row>
    <row r="349" spans="1:11">
      <c r="A349" s="568"/>
      <c r="B349" s="593" t="s">
        <v>652</v>
      </c>
      <c r="C349" s="599"/>
      <c r="D349" s="578">
        <v>1</v>
      </c>
      <c r="E349" s="579" t="s">
        <v>8</v>
      </c>
      <c r="F349" s="569">
        <v>1</v>
      </c>
      <c r="G349" s="600">
        <v>1.4</v>
      </c>
      <c r="H349" s="600">
        <v>1.4</v>
      </c>
      <c r="I349" s="600">
        <v>0.1</v>
      </c>
      <c r="J349" s="597">
        <f t="shared" si="28"/>
        <v>0.19599999999999998</v>
      </c>
      <c r="K349" s="568"/>
    </row>
    <row r="350" spans="1:11">
      <c r="A350" s="568"/>
      <c r="B350" s="593" t="s">
        <v>653</v>
      </c>
      <c r="C350" s="599"/>
      <c r="D350" s="578">
        <v>1</v>
      </c>
      <c r="E350" s="579" t="s">
        <v>8</v>
      </c>
      <c r="F350" s="569">
        <v>2</v>
      </c>
      <c r="G350" s="600">
        <v>2</v>
      </c>
      <c r="H350" s="600">
        <v>2.7</v>
      </c>
      <c r="I350" s="600">
        <v>0.1</v>
      </c>
      <c r="J350" s="597">
        <f t="shared" si="28"/>
        <v>1.08</v>
      </c>
      <c r="K350" s="568"/>
    </row>
    <row r="351" spans="1:11">
      <c r="A351" s="568"/>
      <c r="B351" s="584" t="s">
        <v>482</v>
      </c>
      <c r="C351" s="589"/>
      <c r="G351" s="590"/>
      <c r="H351" s="591"/>
      <c r="I351" s="591"/>
      <c r="J351" s="591"/>
      <c r="K351" s="592"/>
    </row>
    <row r="352" spans="1:11">
      <c r="A352" s="568"/>
      <c r="B352" s="593" t="s">
        <v>50</v>
      </c>
      <c r="C352" s="589"/>
      <c r="G352" s="590"/>
      <c r="H352" s="591"/>
      <c r="I352" s="591"/>
      <c r="J352" s="591"/>
      <c r="K352" s="592"/>
    </row>
    <row r="353" spans="1:11">
      <c r="A353" s="568"/>
      <c r="B353" s="601" t="s">
        <v>571</v>
      </c>
      <c r="C353" s="593" t="s">
        <v>1022</v>
      </c>
      <c r="D353" s="578">
        <v>1</v>
      </c>
      <c r="E353" s="579" t="s">
        <v>8</v>
      </c>
      <c r="F353" s="569">
        <v>1</v>
      </c>
      <c r="G353" s="590">
        <v>27.8</v>
      </c>
      <c r="H353" s="591">
        <f>0.2+0.1+0.1</f>
        <v>0.4</v>
      </c>
      <c r="I353" s="596">
        <v>0.1</v>
      </c>
      <c r="J353" s="597">
        <f t="shared" ref="J353:J413" si="29">PRODUCT(D353:I353)</f>
        <v>1.1120000000000001</v>
      </c>
      <c r="K353" s="592"/>
    </row>
    <row r="354" spans="1:11">
      <c r="A354" s="568"/>
      <c r="B354" s="601" t="s">
        <v>571</v>
      </c>
      <c r="C354" s="593" t="s">
        <v>1022</v>
      </c>
      <c r="D354" s="578">
        <v>1</v>
      </c>
      <c r="E354" s="579" t="s">
        <v>8</v>
      </c>
      <c r="F354" s="569">
        <v>1</v>
      </c>
      <c r="G354" s="590">
        <v>5.375</v>
      </c>
      <c r="H354" s="591">
        <f t="shared" ref="H354:H390" si="30">0.2+0.1+0.1</f>
        <v>0.4</v>
      </c>
      <c r="I354" s="596">
        <v>0.1</v>
      </c>
      <c r="J354" s="597">
        <f t="shared" si="29"/>
        <v>0.215</v>
      </c>
      <c r="K354" s="592"/>
    </row>
    <row r="355" spans="1:11">
      <c r="A355" s="568"/>
      <c r="B355" s="601" t="s">
        <v>570</v>
      </c>
      <c r="C355" s="593" t="s">
        <v>1023</v>
      </c>
      <c r="D355" s="578">
        <v>1</v>
      </c>
      <c r="E355" s="579" t="s">
        <v>8</v>
      </c>
      <c r="F355" s="569">
        <v>1</v>
      </c>
      <c r="G355" s="590">
        <v>7.5</v>
      </c>
      <c r="H355" s="591">
        <f t="shared" si="30"/>
        <v>0.4</v>
      </c>
      <c r="I355" s="596">
        <v>0.1</v>
      </c>
      <c r="J355" s="597">
        <f t="shared" si="29"/>
        <v>0.30000000000000004</v>
      </c>
      <c r="K355" s="592"/>
    </row>
    <row r="356" spans="1:11">
      <c r="A356" s="568"/>
      <c r="B356" s="601" t="s">
        <v>1024</v>
      </c>
      <c r="C356" s="593" t="s">
        <v>1092</v>
      </c>
      <c r="D356" s="578">
        <v>1</v>
      </c>
      <c r="E356" s="579" t="s">
        <v>8</v>
      </c>
      <c r="F356" s="569">
        <v>1</v>
      </c>
      <c r="G356" s="590">
        <v>8.1999999999999993</v>
      </c>
      <c r="H356" s="591">
        <f t="shared" si="30"/>
        <v>0.4</v>
      </c>
      <c r="I356" s="596">
        <v>0.1</v>
      </c>
      <c r="J356" s="597">
        <f t="shared" si="29"/>
        <v>0.32800000000000001</v>
      </c>
      <c r="K356" s="592"/>
    </row>
    <row r="357" spans="1:11">
      <c r="A357" s="568"/>
      <c r="B357" s="601" t="s">
        <v>1026</v>
      </c>
      <c r="C357" s="593" t="s">
        <v>1022</v>
      </c>
      <c r="D357" s="578">
        <v>1</v>
      </c>
      <c r="E357" s="579" t="s">
        <v>8</v>
      </c>
      <c r="F357" s="569">
        <v>1</v>
      </c>
      <c r="G357" s="590">
        <v>1.425</v>
      </c>
      <c r="H357" s="591">
        <f t="shared" si="30"/>
        <v>0.4</v>
      </c>
      <c r="I357" s="596">
        <v>0.1</v>
      </c>
      <c r="J357" s="597">
        <f t="shared" si="29"/>
        <v>5.7000000000000009E-2</v>
      </c>
      <c r="K357" s="592"/>
    </row>
    <row r="358" spans="1:11">
      <c r="A358" s="568"/>
      <c r="B358" s="601" t="s">
        <v>1027</v>
      </c>
      <c r="C358" s="593" t="s">
        <v>1028</v>
      </c>
      <c r="D358" s="578">
        <v>1</v>
      </c>
      <c r="E358" s="579" t="s">
        <v>8</v>
      </c>
      <c r="F358" s="569">
        <v>1</v>
      </c>
      <c r="G358" s="590">
        <v>5.0750000000000002</v>
      </c>
      <c r="H358" s="591">
        <f t="shared" si="30"/>
        <v>0.4</v>
      </c>
      <c r="I358" s="596">
        <v>0.1</v>
      </c>
      <c r="J358" s="597">
        <f t="shared" si="29"/>
        <v>0.20300000000000004</v>
      </c>
      <c r="K358" s="592"/>
    </row>
    <row r="359" spans="1:11">
      <c r="A359" s="568"/>
      <c r="B359" s="601" t="s">
        <v>1029</v>
      </c>
      <c r="C359" s="593" t="s">
        <v>1030</v>
      </c>
      <c r="D359" s="578">
        <v>1</v>
      </c>
      <c r="E359" s="579" t="s">
        <v>8</v>
      </c>
      <c r="F359" s="569">
        <v>1</v>
      </c>
      <c r="G359" s="590">
        <v>5.0750000000000002</v>
      </c>
      <c r="H359" s="591">
        <f t="shared" si="30"/>
        <v>0.4</v>
      </c>
      <c r="I359" s="596">
        <v>0.1</v>
      </c>
      <c r="J359" s="597">
        <f t="shared" si="29"/>
        <v>0.20300000000000004</v>
      </c>
      <c r="K359" s="592"/>
    </row>
    <row r="360" spans="1:11">
      <c r="A360" s="568"/>
      <c r="B360" s="601" t="s">
        <v>1031</v>
      </c>
      <c r="C360" s="593" t="s">
        <v>1030</v>
      </c>
      <c r="D360" s="578">
        <v>1</v>
      </c>
      <c r="E360" s="579" t="s">
        <v>8</v>
      </c>
      <c r="F360" s="569">
        <v>1</v>
      </c>
      <c r="G360" s="590">
        <v>5.8</v>
      </c>
      <c r="H360" s="591">
        <f t="shared" si="30"/>
        <v>0.4</v>
      </c>
      <c r="I360" s="596">
        <v>0.1</v>
      </c>
      <c r="J360" s="597">
        <f t="shared" si="29"/>
        <v>0.23199999999999998</v>
      </c>
      <c r="K360" s="592"/>
    </row>
    <row r="361" spans="1:11">
      <c r="A361" s="568"/>
      <c r="B361" s="601" t="s">
        <v>1032</v>
      </c>
      <c r="C361" s="593" t="s">
        <v>575</v>
      </c>
      <c r="D361" s="578">
        <v>1</v>
      </c>
      <c r="E361" s="579" t="s">
        <v>8</v>
      </c>
      <c r="F361" s="569">
        <v>1</v>
      </c>
      <c r="G361" s="590">
        <v>21.9</v>
      </c>
      <c r="H361" s="591">
        <f t="shared" si="30"/>
        <v>0.4</v>
      </c>
      <c r="I361" s="596">
        <v>0.1</v>
      </c>
      <c r="J361" s="597">
        <f t="shared" si="29"/>
        <v>0.876</v>
      </c>
      <c r="K361" s="592"/>
    </row>
    <row r="362" spans="1:11">
      <c r="A362" s="568"/>
      <c r="B362" s="601" t="s">
        <v>1033</v>
      </c>
      <c r="C362" s="593" t="s">
        <v>577</v>
      </c>
      <c r="D362" s="578">
        <v>1</v>
      </c>
      <c r="E362" s="579" t="s">
        <v>8</v>
      </c>
      <c r="F362" s="569">
        <v>1</v>
      </c>
      <c r="G362" s="590">
        <v>2.9</v>
      </c>
      <c r="H362" s="591">
        <f t="shared" si="30"/>
        <v>0.4</v>
      </c>
      <c r="I362" s="596">
        <v>0.1</v>
      </c>
      <c r="J362" s="597">
        <f t="shared" si="29"/>
        <v>0.11599999999999999</v>
      </c>
      <c r="K362" s="592"/>
    </row>
    <row r="363" spans="1:11">
      <c r="A363" s="568"/>
      <c r="B363" s="601" t="s">
        <v>1034</v>
      </c>
      <c r="C363" s="593" t="s">
        <v>573</v>
      </c>
      <c r="D363" s="578">
        <v>1</v>
      </c>
      <c r="E363" s="579" t="s">
        <v>8</v>
      </c>
      <c r="F363" s="569">
        <v>1</v>
      </c>
      <c r="G363" s="590">
        <v>21.774999999999999</v>
      </c>
      <c r="H363" s="591">
        <f t="shared" si="30"/>
        <v>0.4</v>
      </c>
      <c r="I363" s="596">
        <v>0.1</v>
      </c>
      <c r="J363" s="597">
        <f t="shared" si="29"/>
        <v>0.871</v>
      </c>
      <c r="K363" s="592"/>
    </row>
    <row r="364" spans="1:11">
      <c r="A364" s="568"/>
      <c r="B364" s="601" t="s">
        <v>1035</v>
      </c>
      <c r="C364" s="593" t="s">
        <v>574</v>
      </c>
      <c r="D364" s="578">
        <v>1</v>
      </c>
      <c r="E364" s="579" t="s">
        <v>8</v>
      </c>
      <c r="F364" s="569">
        <v>1</v>
      </c>
      <c r="G364" s="590">
        <v>6.4</v>
      </c>
      <c r="H364" s="591">
        <f t="shared" si="30"/>
        <v>0.4</v>
      </c>
      <c r="I364" s="596">
        <v>0.1</v>
      </c>
      <c r="J364" s="597">
        <f t="shared" si="29"/>
        <v>0.25600000000000006</v>
      </c>
      <c r="K364" s="592"/>
    </row>
    <row r="365" spans="1:11">
      <c r="A365" s="568"/>
      <c r="B365" s="601" t="s">
        <v>1036</v>
      </c>
      <c r="C365" s="593" t="s">
        <v>572</v>
      </c>
      <c r="D365" s="578">
        <v>1</v>
      </c>
      <c r="E365" s="579" t="s">
        <v>8</v>
      </c>
      <c r="F365" s="569">
        <v>1</v>
      </c>
      <c r="G365" s="590">
        <v>6</v>
      </c>
      <c r="H365" s="591">
        <f t="shared" si="30"/>
        <v>0.4</v>
      </c>
      <c r="I365" s="596">
        <v>0.1</v>
      </c>
      <c r="J365" s="597">
        <f t="shared" si="29"/>
        <v>0.24000000000000005</v>
      </c>
      <c r="K365" s="592"/>
    </row>
    <row r="366" spans="1:11">
      <c r="A366" s="568"/>
      <c r="B366" s="601" t="s">
        <v>1037</v>
      </c>
      <c r="C366" s="593" t="s">
        <v>1038</v>
      </c>
      <c r="D366" s="578">
        <v>1</v>
      </c>
      <c r="E366" s="579" t="s">
        <v>8</v>
      </c>
      <c r="F366" s="569">
        <v>1</v>
      </c>
      <c r="G366" s="590">
        <v>2.5</v>
      </c>
      <c r="H366" s="591">
        <f t="shared" si="30"/>
        <v>0.4</v>
      </c>
      <c r="I366" s="596">
        <v>0.1</v>
      </c>
      <c r="J366" s="597">
        <f t="shared" si="29"/>
        <v>0.1</v>
      </c>
      <c r="K366" s="592"/>
    </row>
    <row r="367" spans="1:11">
      <c r="A367" s="568"/>
      <c r="B367" s="601" t="s">
        <v>1039</v>
      </c>
      <c r="C367" s="593" t="s">
        <v>1040</v>
      </c>
      <c r="D367" s="578">
        <v>1</v>
      </c>
      <c r="E367" s="579" t="s">
        <v>8</v>
      </c>
      <c r="F367" s="569">
        <v>2</v>
      </c>
      <c r="G367" s="590">
        <v>1.1000000000000001</v>
      </c>
      <c r="H367" s="591">
        <f t="shared" si="30"/>
        <v>0.4</v>
      </c>
      <c r="I367" s="596">
        <v>0.1</v>
      </c>
      <c r="J367" s="597">
        <f t="shared" si="29"/>
        <v>8.8000000000000023E-2</v>
      </c>
      <c r="K367" s="592"/>
    </row>
    <row r="368" spans="1:11">
      <c r="A368" s="568"/>
      <c r="B368" s="601" t="s">
        <v>1041</v>
      </c>
      <c r="C368" s="593" t="s">
        <v>547</v>
      </c>
      <c r="D368" s="578">
        <v>1</v>
      </c>
      <c r="E368" s="579" t="s">
        <v>8</v>
      </c>
      <c r="F368" s="569">
        <v>1</v>
      </c>
      <c r="G368" s="590">
        <v>7.9</v>
      </c>
      <c r="H368" s="591">
        <f t="shared" si="30"/>
        <v>0.4</v>
      </c>
      <c r="I368" s="596">
        <v>0.1</v>
      </c>
      <c r="J368" s="597">
        <f t="shared" si="29"/>
        <v>0.31600000000000006</v>
      </c>
      <c r="K368" s="592"/>
    </row>
    <row r="369" spans="1:11">
      <c r="A369" s="568"/>
      <c r="B369" s="601" t="s">
        <v>1042</v>
      </c>
      <c r="C369" s="593" t="s">
        <v>547</v>
      </c>
      <c r="D369" s="578">
        <v>1</v>
      </c>
      <c r="E369" s="579" t="s">
        <v>8</v>
      </c>
      <c r="F369" s="569">
        <v>1</v>
      </c>
      <c r="G369" s="590">
        <v>3.7</v>
      </c>
      <c r="H369" s="591">
        <f t="shared" si="30"/>
        <v>0.4</v>
      </c>
      <c r="I369" s="596">
        <v>0.1</v>
      </c>
      <c r="J369" s="597">
        <f t="shared" si="29"/>
        <v>0.14800000000000002</v>
      </c>
      <c r="K369" s="592"/>
    </row>
    <row r="370" spans="1:11">
      <c r="A370" s="568"/>
      <c r="B370" s="601" t="s">
        <v>1043</v>
      </c>
      <c r="C370" s="593" t="s">
        <v>491</v>
      </c>
      <c r="D370" s="578">
        <v>1</v>
      </c>
      <c r="E370" s="579" t="s">
        <v>8</v>
      </c>
      <c r="F370" s="569">
        <v>1</v>
      </c>
      <c r="G370" s="590">
        <v>1.956</v>
      </c>
      <c r="H370" s="591">
        <f t="shared" si="30"/>
        <v>0.4</v>
      </c>
      <c r="I370" s="596">
        <v>0.1</v>
      </c>
      <c r="J370" s="597">
        <f t="shared" si="29"/>
        <v>7.8240000000000004E-2</v>
      </c>
      <c r="K370" s="592"/>
    </row>
    <row r="371" spans="1:11">
      <c r="A371" s="568"/>
      <c r="B371" s="601" t="s">
        <v>1043</v>
      </c>
      <c r="C371" s="593" t="s">
        <v>491</v>
      </c>
      <c r="D371" s="578">
        <v>1</v>
      </c>
      <c r="E371" s="579" t="s">
        <v>8</v>
      </c>
      <c r="F371" s="569">
        <v>1</v>
      </c>
      <c r="G371" s="590">
        <v>6.6</v>
      </c>
      <c r="H371" s="591">
        <f t="shared" si="30"/>
        <v>0.4</v>
      </c>
      <c r="I371" s="596">
        <v>0.1</v>
      </c>
      <c r="J371" s="597">
        <f t="shared" si="29"/>
        <v>0.26400000000000001</v>
      </c>
      <c r="K371" s="592"/>
    </row>
    <row r="372" spans="1:11">
      <c r="A372" s="568"/>
      <c r="B372" s="601" t="s">
        <v>1037</v>
      </c>
      <c r="C372" s="593" t="s">
        <v>491</v>
      </c>
      <c r="D372" s="578">
        <v>1</v>
      </c>
      <c r="E372" s="579" t="s">
        <v>8</v>
      </c>
      <c r="F372" s="569">
        <v>1</v>
      </c>
      <c r="G372" s="590">
        <v>2.5</v>
      </c>
      <c r="H372" s="591">
        <f t="shared" si="30"/>
        <v>0.4</v>
      </c>
      <c r="I372" s="596">
        <v>0.1</v>
      </c>
      <c r="J372" s="597">
        <f t="shared" si="29"/>
        <v>0.1</v>
      </c>
      <c r="K372" s="592"/>
    </row>
    <row r="373" spans="1:11">
      <c r="A373" s="568"/>
      <c r="B373" s="601" t="s">
        <v>1036</v>
      </c>
      <c r="C373" s="593" t="s">
        <v>550</v>
      </c>
      <c r="D373" s="578">
        <v>1</v>
      </c>
      <c r="E373" s="579" t="s">
        <v>8</v>
      </c>
      <c r="F373" s="569">
        <v>1</v>
      </c>
      <c r="G373" s="590">
        <v>6.2</v>
      </c>
      <c r="H373" s="591">
        <f t="shared" si="30"/>
        <v>0.4</v>
      </c>
      <c r="I373" s="596">
        <v>0.1</v>
      </c>
      <c r="J373" s="597">
        <f t="shared" si="29"/>
        <v>0.24800000000000005</v>
      </c>
      <c r="K373" s="592"/>
    </row>
    <row r="374" spans="1:11">
      <c r="A374" s="568"/>
      <c r="B374" s="601" t="s">
        <v>1044</v>
      </c>
      <c r="C374" s="593" t="s">
        <v>490</v>
      </c>
      <c r="D374" s="578">
        <v>1</v>
      </c>
      <c r="E374" s="579" t="s">
        <v>8</v>
      </c>
      <c r="F374" s="569">
        <v>1</v>
      </c>
      <c r="G374" s="590">
        <v>12.975</v>
      </c>
      <c r="H374" s="591">
        <f t="shared" si="30"/>
        <v>0.4</v>
      </c>
      <c r="I374" s="596">
        <v>0.1</v>
      </c>
      <c r="J374" s="597">
        <f t="shared" si="29"/>
        <v>0.51900000000000002</v>
      </c>
      <c r="K374" s="592"/>
    </row>
    <row r="375" spans="1:11">
      <c r="A375" s="568"/>
      <c r="B375" s="601" t="s">
        <v>1045</v>
      </c>
      <c r="C375" s="593" t="s">
        <v>548</v>
      </c>
      <c r="D375" s="578">
        <v>1</v>
      </c>
      <c r="E375" s="579" t="s">
        <v>8</v>
      </c>
      <c r="F375" s="569">
        <v>1</v>
      </c>
      <c r="G375" s="590">
        <v>1.9</v>
      </c>
      <c r="H375" s="591">
        <f t="shared" si="30"/>
        <v>0.4</v>
      </c>
      <c r="I375" s="596">
        <v>0.1</v>
      </c>
      <c r="J375" s="597">
        <f t="shared" si="29"/>
        <v>7.6000000000000012E-2</v>
      </c>
      <c r="K375" s="592"/>
    </row>
    <row r="376" spans="1:11">
      <c r="A376" s="568"/>
      <c r="B376" s="601" t="s">
        <v>1045</v>
      </c>
      <c r="C376" s="593" t="s">
        <v>548</v>
      </c>
      <c r="D376" s="578">
        <v>1</v>
      </c>
      <c r="E376" s="579" t="s">
        <v>8</v>
      </c>
      <c r="F376" s="569">
        <v>1</v>
      </c>
      <c r="G376" s="590">
        <v>6.8</v>
      </c>
      <c r="H376" s="591">
        <f t="shared" si="30"/>
        <v>0.4</v>
      </c>
      <c r="I376" s="596">
        <v>0.1</v>
      </c>
      <c r="J376" s="597">
        <f t="shared" si="29"/>
        <v>0.27200000000000002</v>
      </c>
      <c r="K376" s="592"/>
    </row>
    <row r="377" spans="1:11">
      <c r="A377" s="568"/>
      <c r="B377" s="601" t="s">
        <v>1046</v>
      </c>
      <c r="C377" s="593" t="s">
        <v>489</v>
      </c>
      <c r="D377" s="578">
        <v>1</v>
      </c>
      <c r="E377" s="579" t="s">
        <v>8</v>
      </c>
      <c r="F377" s="569">
        <v>1</v>
      </c>
      <c r="G377" s="590">
        <v>1.9</v>
      </c>
      <c r="H377" s="591">
        <f t="shared" si="30"/>
        <v>0.4</v>
      </c>
      <c r="I377" s="596">
        <v>0.1</v>
      </c>
      <c r="J377" s="597">
        <f t="shared" si="29"/>
        <v>7.6000000000000012E-2</v>
      </c>
      <c r="K377" s="592"/>
    </row>
    <row r="378" spans="1:11">
      <c r="A378" s="568"/>
      <c r="B378" s="601" t="s">
        <v>1047</v>
      </c>
      <c r="C378" s="593" t="s">
        <v>489</v>
      </c>
      <c r="D378" s="578">
        <v>1</v>
      </c>
      <c r="E378" s="579" t="s">
        <v>8</v>
      </c>
      <c r="F378" s="569">
        <v>1</v>
      </c>
      <c r="G378" s="590">
        <v>16.675000000000001</v>
      </c>
      <c r="H378" s="591">
        <f t="shared" si="30"/>
        <v>0.4</v>
      </c>
      <c r="I378" s="596">
        <v>0.1</v>
      </c>
      <c r="J378" s="597">
        <f t="shared" si="29"/>
        <v>0.66700000000000015</v>
      </c>
      <c r="K378" s="592"/>
    </row>
    <row r="379" spans="1:11">
      <c r="A379" s="568"/>
      <c r="B379" s="601" t="s">
        <v>1048</v>
      </c>
      <c r="C379" s="593" t="s">
        <v>489</v>
      </c>
      <c r="D379" s="578">
        <v>1</v>
      </c>
      <c r="E379" s="579" t="s">
        <v>8</v>
      </c>
      <c r="F379" s="569">
        <v>1</v>
      </c>
      <c r="G379" s="590">
        <v>1.9</v>
      </c>
      <c r="H379" s="591">
        <f t="shared" si="30"/>
        <v>0.4</v>
      </c>
      <c r="I379" s="596">
        <v>0.1</v>
      </c>
      <c r="J379" s="597">
        <f t="shared" si="29"/>
        <v>7.6000000000000012E-2</v>
      </c>
      <c r="K379" s="592"/>
    </row>
    <row r="380" spans="1:11">
      <c r="A380" s="568"/>
      <c r="B380" s="601" t="s">
        <v>1049</v>
      </c>
      <c r="C380" s="577" t="s">
        <v>583</v>
      </c>
      <c r="D380" s="578">
        <v>1</v>
      </c>
      <c r="E380" s="579" t="s">
        <v>8</v>
      </c>
      <c r="F380" s="569">
        <v>1</v>
      </c>
      <c r="G380" s="590">
        <v>27.8</v>
      </c>
      <c r="H380" s="591">
        <f t="shared" si="30"/>
        <v>0.4</v>
      </c>
      <c r="I380" s="596">
        <v>0.1</v>
      </c>
      <c r="J380" s="597">
        <f t="shared" si="29"/>
        <v>1.1120000000000001</v>
      </c>
      <c r="K380" s="592"/>
    </row>
    <row r="381" spans="1:11">
      <c r="A381" s="568"/>
      <c r="B381" s="601" t="s">
        <v>1049</v>
      </c>
      <c r="C381" s="577" t="s">
        <v>583</v>
      </c>
      <c r="D381" s="578">
        <v>1</v>
      </c>
      <c r="E381" s="579" t="s">
        <v>8</v>
      </c>
      <c r="F381" s="569">
        <v>1</v>
      </c>
      <c r="G381" s="590">
        <v>5.375</v>
      </c>
      <c r="H381" s="591">
        <f t="shared" si="30"/>
        <v>0.4</v>
      </c>
      <c r="I381" s="596">
        <v>0.1</v>
      </c>
      <c r="J381" s="597">
        <f t="shared" si="29"/>
        <v>0.215</v>
      </c>
      <c r="K381" s="592"/>
    </row>
    <row r="382" spans="1:11">
      <c r="A382" s="568"/>
      <c r="B382" s="584" t="s">
        <v>488</v>
      </c>
      <c r="C382" s="589"/>
      <c r="G382" s="590"/>
      <c r="H382" s="591"/>
      <c r="I382" s="596"/>
      <c r="J382" s="597"/>
      <c r="K382" s="592"/>
    </row>
    <row r="383" spans="1:11">
      <c r="A383" s="568"/>
      <c r="B383" s="601" t="s">
        <v>1050</v>
      </c>
      <c r="C383" s="593" t="s">
        <v>549</v>
      </c>
      <c r="D383" s="578">
        <v>1</v>
      </c>
      <c r="E383" s="579" t="s">
        <v>8</v>
      </c>
      <c r="F383" s="569">
        <v>1</v>
      </c>
      <c r="G383" s="590">
        <v>20.2</v>
      </c>
      <c r="H383" s="591">
        <f t="shared" si="30"/>
        <v>0.4</v>
      </c>
      <c r="I383" s="596">
        <v>0.1</v>
      </c>
      <c r="J383" s="597">
        <f t="shared" si="29"/>
        <v>0.80800000000000005</v>
      </c>
      <c r="K383" s="592"/>
    </row>
    <row r="384" spans="1:11">
      <c r="A384" s="568"/>
      <c r="B384" s="601" t="s">
        <v>1051</v>
      </c>
      <c r="C384" s="593" t="s">
        <v>483</v>
      </c>
      <c r="D384" s="578">
        <v>1</v>
      </c>
      <c r="E384" s="579" t="s">
        <v>8</v>
      </c>
      <c r="F384" s="569">
        <v>1</v>
      </c>
      <c r="G384" s="590">
        <v>3.7</v>
      </c>
      <c r="H384" s="591">
        <f t="shared" si="30"/>
        <v>0.4</v>
      </c>
      <c r="I384" s="596">
        <v>0.1</v>
      </c>
      <c r="J384" s="597">
        <f t="shared" si="29"/>
        <v>0.14800000000000002</v>
      </c>
      <c r="K384" s="592"/>
    </row>
    <row r="385" spans="1:11">
      <c r="A385" s="568"/>
      <c r="B385" s="601" t="s">
        <v>1052</v>
      </c>
      <c r="C385" s="593" t="s">
        <v>1053</v>
      </c>
      <c r="D385" s="578">
        <v>1</v>
      </c>
      <c r="E385" s="579" t="s">
        <v>8</v>
      </c>
      <c r="F385" s="569">
        <v>1</v>
      </c>
      <c r="G385" s="590">
        <v>3.3</v>
      </c>
      <c r="H385" s="591">
        <f t="shared" si="30"/>
        <v>0.4</v>
      </c>
      <c r="I385" s="596">
        <v>0.1</v>
      </c>
      <c r="J385" s="597">
        <f t="shared" si="29"/>
        <v>0.13200000000000001</v>
      </c>
      <c r="K385" s="592"/>
    </row>
    <row r="386" spans="1:11">
      <c r="A386" s="568"/>
      <c r="B386" s="601" t="s">
        <v>1054</v>
      </c>
      <c r="C386" s="593" t="s">
        <v>1055</v>
      </c>
      <c r="D386" s="578">
        <v>1</v>
      </c>
      <c r="E386" s="579" t="s">
        <v>8</v>
      </c>
      <c r="F386" s="569">
        <v>1</v>
      </c>
      <c r="G386" s="590">
        <v>3.5</v>
      </c>
      <c r="H386" s="591">
        <f t="shared" si="30"/>
        <v>0.4</v>
      </c>
      <c r="I386" s="596">
        <v>0.1</v>
      </c>
      <c r="J386" s="597">
        <f t="shared" si="29"/>
        <v>0.14000000000000001</v>
      </c>
      <c r="K386" s="592"/>
    </row>
    <row r="387" spans="1:11">
      <c r="A387" s="568"/>
      <c r="B387" s="601" t="s">
        <v>1056</v>
      </c>
      <c r="C387" s="593" t="s">
        <v>1057</v>
      </c>
      <c r="D387" s="578">
        <v>1</v>
      </c>
      <c r="E387" s="579" t="s">
        <v>8</v>
      </c>
      <c r="F387" s="569">
        <v>1</v>
      </c>
      <c r="G387" s="590">
        <v>3.5</v>
      </c>
      <c r="H387" s="591">
        <f t="shared" si="30"/>
        <v>0.4</v>
      </c>
      <c r="I387" s="596">
        <v>0.1</v>
      </c>
      <c r="J387" s="597">
        <f t="shared" si="29"/>
        <v>0.14000000000000001</v>
      </c>
      <c r="K387" s="592"/>
    </row>
    <row r="388" spans="1:11">
      <c r="A388" s="568"/>
      <c r="B388" s="601" t="s">
        <v>1058</v>
      </c>
      <c r="C388" s="593" t="s">
        <v>1059</v>
      </c>
      <c r="D388" s="578">
        <v>1</v>
      </c>
      <c r="E388" s="579" t="s">
        <v>8</v>
      </c>
      <c r="F388" s="569">
        <v>1</v>
      </c>
      <c r="G388" s="590">
        <v>8.3000000000000007</v>
      </c>
      <c r="H388" s="591">
        <f t="shared" si="30"/>
        <v>0.4</v>
      </c>
      <c r="I388" s="596">
        <v>0.1</v>
      </c>
      <c r="J388" s="597">
        <f t="shared" si="29"/>
        <v>0.33200000000000007</v>
      </c>
      <c r="K388" s="592"/>
    </row>
    <row r="389" spans="1:11">
      <c r="A389" s="568"/>
      <c r="B389" s="601" t="s">
        <v>1052</v>
      </c>
      <c r="C389" s="593" t="s">
        <v>1060</v>
      </c>
      <c r="D389" s="578">
        <v>1</v>
      </c>
      <c r="E389" s="579" t="s">
        <v>8</v>
      </c>
      <c r="F389" s="569">
        <v>1</v>
      </c>
      <c r="G389" s="590">
        <v>16.7</v>
      </c>
      <c r="H389" s="591">
        <f t="shared" si="30"/>
        <v>0.4</v>
      </c>
      <c r="I389" s="596">
        <v>0.1</v>
      </c>
      <c r="J389" s="597">
        <f t="shared" si="29"/>
        <v>0.66800000000000004</v>
      </c>
      <c r="K389" s="592"/>
    </row>
    <row r="390" spans="1:11">
      <c r="A390" s="568"/>
      <c r="B390" s="601" t="s">
        <v>1061</v>
      </c>
      <c r="C390" s="593" t="s">
        <v>485</v>
      </c>
      <c r="D390" s="578">
        <v>1</v>
      </c>
      <c r="E390" s="579" t="s">
        <v>8</v>
      </c>
      <c r="F390" s="569">
        <v>1</v>
      </c>
      <c r="G390" s="590">
        <v>6.8</v>
      </c>
      <c r="H390" s="591">
        <f t="shared" si="30"/>
        <v>0.4</v>
      </c>
      <c r="I390" s="596">
        <v>0.1</v>
      </c>
      <c r="J390" s="597">
        <f t="shared" si="29"/>
        <v>0.27200000000000002</v>
      </c>
      <c r="K390" s="592"/>
    </row>
    <row r="391" spans="1:11">
      <c r="A391" s="568"/>
      <c r="B391" s="601" t="s">
        <v>1061</v>
      </c>
      <c r="C391" s="593" t="s">
        <v>485</v>
      </c>
      <c r="D391" s="578">
        <v>1</v>
      </c>
      <c r="E391" s="579" t="s">
        <v>8</v>
      </c>
      <c r="F391" s="569">
        <v>1</v>
      </c>
      <c r="G391" s="590">
        <v>7.351</v>
      </c>
      <c r="H391" s="591">
        <v>0.23</v>
      </c>
      <c r="I391" s="596">
        <v>0.1</v>
      </c>
      <c r="J391" s="597">
        <f t="shared" si="29"/>
        <v>0.16907300000000003</v>
      </c>
      <c r="K391" s="592"/>
    </row>
    <row r="392" spans="1:11">
      <c r="A392" s="568"/>
      <c r="B392" s="601" t="s">
        <v>1061</v>
      </c>
      <c r="C392" s="593" t="s">
        <v>485</v>
      </c>
      <c r="D392" s="578">
        <v>1</v>
      </c>
      <c r="E392" s="579" t="s">
        <v>8</v>
      </c>
      <c r="F392" s="569">
        <v>1</v>
      </c>
      <c r="G392" s="590">
        <v>6.5990000000000002</v>
      </c>
      <c r="H392" s="591">
        <v>0.23</v>
      </c>
      <c r="I392" s="596">
        <v>0.1</v>
      </c>
      <c r="J392" s="597">
        <f t="shared" si="29"/>
        <v>0.15177700000000002</v>
      </c>
      <c r="K392" s="592"/>
    </row>
    <row r="393" spans="1:11">
      <c r="A393" s="568"/>
      <c r="B393" s="601" t="s">
        <v>1062</v>
      </c>
      <c r="C393" s="593" t="s">
        <v>487</v>
      </c>
      <c r="D393" s="578">
        <v>1</v>
      </c>
      <c r="E393" s="579" t="s">
        <v>8</v>
      </c>
      <c r="F393" s="569">
        <v>1</v>
      </c>
      <c r="G393" s="590">
        <v>6.5</v>
      </c>
      <c r="H393" s="591">
        <f t="shared" ref="H393:H396" si="31">0.2+0.1+0.1</f>
        <v>0.4</v>
      </c>
      <c r="I393" s="596">
        <v>0.1</v>
      </c>
      <c r="J393" s="597">
        <f t="shared" si="29"/>
        <v>0.26</v>
      </c>
      <c r="K393" s="592"/>
    </row>
    <row r="394" spans="1:11">
      <c r="A394" s="568"/>
      <c r="B394" s="601" t="s">
        <v>1063</v>
      </c>
      <c r="C394" s="593" t="s">
        <v>487</v>
      </c>
      <c r="D394" s="578">
        <v>1</v>
      </c>
      <c r="E394" s="579" t="s">
        <v>8</v>
      </c>
      <c r="F394" s="569">
        <v>1</v>
      </c>
      <c r="G394" s="590">
        <v>5.4</v>
      </c>
      <c r="H394" s="591">
        <f t="shared" si="31"/>
        <v>0.4</v>
      </c>
      <c r="I394" s="596">
        <v>0.1</v>
      </c>
      <c r="J394" s="597">
        <f t="shared" si="29"/>
        <v>0.21600000000000003</v>
      </c>
      <c r="K394" s="592"/>
    </row>
    <row r="395" spans="1:11">
      <c r="A395" s="568"/>
      <c r="B395" s="601" t="s">
        <v>571</v>
      </c>
      <c r="C395" s="593" t="s">
        <v>1064</v>
      </c>
      <c r="D395" s="578">
        <v>1</v>
      </c>
      <c r="E395" s="579" t="s">
        <v>8</v>
      </c>
      <c r="F395" s="569">
        <v>3</v>
      </c>
      <c r="G395" s="590">
        <v>1.7</v>
      </c>
      <c r="H395" s="591">
        <f t="shared" si="31"/>
        <v>0.4</v>
      </c>
      <c r="I395" s="596">
        <v>0.1</v>
      </c>
      <c r="J395" s="597">
        <f t="shared" si="29"/>
        <v>0.20400000000000001</v>
      </c>
      <c r="K395" s="592"/>
    </row>
    <row r="396" spans="1:11">
      <c r="A396" s="568"/>
      <c r="B396" s="601" t="s">
        <v>1065</v>
      </c>
      <c r="C396" s="593" t="s">
        <v>1064</v>
      </c>
      <c r="D396" s="578">
        <v>1</v>
      </c>
      <c r="E396" s="579" t="s">
        <v>8</v>
      </c>
      <c r="F396" s="569">
        <v>1</v>
      </c>
      <c r="G396" s="590">
        <v>6.8</v>
      </c>
      <c r="H396" s="591">
        <f t="shared" si="31"/>
        <v>0.4</v>
      </c>
      <c r="I396" s="596">
        <v>0.1</v>
      </c>
      <c r="J396" s="597">
        <f t="shared" si="29"/>
        <v>0.27200000000000002</v>
      </c>
      <c r="K396" s="592"/>
    </row>
    <row r="397" spans="1:11">
      <c r="A397" s="568"/>
      <c r="B397" s="601" t="s">
        <v>1066</v>
      </c>
      <c r="C397" s="593" t="s">
        <v>1067</v>
      </c>
      <c r="D397" s="578">
        <v>1</v>
      </c>
      <c r="E397" s="579" t="s">
        <v>8</v>
      </c>
      <c r="F397" s="569">
        <v>1</v>
      </c>
      <c r="G397" s="590">
        <v>2.6</v>
      </c>
      <c r="H397" s="591">
        <f>0.4+0.1+0.1</f>
        <v>0.6</v>
      </c>
      <c r="I397" s="596">
        <v>0.1</v>
      </c>
      <c r="J397" s="597">
        <f t="shared" si="29"/>
        <v>0.15600000000000003</v>
      </c>
      <c r="K397" s="592"/>
    </row>
    <row r="398" spans="1:11">
      <c r="A398" s="568"/>
      <c r="B398" s="601" t="s">
        <v>1062</v>
      </c>
      <c r="C398" s="593" t="s">
        <v>1068</v>
      </c>
      <c r="D398" s="578">
        <v>1</v>
      </c>
      <c r="E398" s="579" t="s">
        <v>8</v>
      </c>
      <c r="F398" s="569">
        <v>1</v>
      </c>
      <c r="G398" s="590">
        <v>4.4000000000000004</v>
      </c>
      <c r="H398" s="591">
        <f>0.2+0.1+0.1</f>
        <v>0.4</v>
      </c>
      <c r="I398" s="596">
        <v>0.1</v>
      </c>
      <c r="J398" s="597">
        <f t="shared" si="29"/>
        <v>0.17600000000000005</v>
      </c>
      <c r="K398" s="592"/>
    </row>
    <row r="399" spans="1:11">
      <c r="A399" s="568"/>
      <c r="B399" s="601" t="s">
        <v>1069</v>
      </c>
      <c r="C399" s="593" t="s">
        <v>1070</v>
      </c>
      <c r="D399" s="578">
        <v>1</v>
      </c>
      <c r="E399" s="579" t="s">
        <v>8</v>
      </c>
      <c r="F399" s="569">
        <v>1</v>
      </c>
      <c r="G399" s="590">
        <v>6.8</v>
      </c>
      <c r="H399" s="591">
        <f t="shared" ref="H399:H413" si="32">0.2+0.1+0.1</f>
        <v>0.4</v>
      </c>
      <c r="I399" s="596">
        <v>0.1</v>
      </c>
      <c r="J399" s="597">
        <f t="shared" si="29"/>
        <v>0.27200000000000002</v>
      </c>
      <c r="K399" s="592"/>
    </row>
    <row r="400" spans="1:11">
      <c r="A400" s="568"/>
      <c r="B400" s="601" t="s">
        <v>1062</v>
      </c>
      <c r="C400" s="593" t="s">
        <v>1068</v>
      </c>
      <c r="D400" s="578">
        <v>1</v>
      </c>
      <c r="E400" s="579" t="s">
        <v>8</v>
      </c>
      <c r="F400" s="569">
        <v>1</v>
      </c>
      <c r="G400" s="590">
        <v>4.4000000000000004</v>
      </c>
      <c r="H400" s="591">
        <f t="shared" si="32"/>
        <v>0.4</v>
      </c>
      <c r="I400" s="596">
        <v>0.1</v>
      </c>
      <c r="J400" s="597">
        <f t="shared" si="29"/>
        <v>0.17600000000000005</v>
      </c>
      <c r="K400" s="592"/>
    </row>
    <row r="401" spans="1:11">
      <c r="A401" s="568"/>
      <c r="B401" s="601" t="s">
        <v>1066</v>
      </c>
      <c r="C401" s="593" t="s">
        <v>1093</v>
      </c>
      <c r="D401" s="578">
        <v>1</v>
      </c>
      <c r="E401" s="579" t="s">
        <v>8</v>
      </c>
      <c r="F401" s="569">
        <v>1</v>
      </c>
      <c r="G401" s="590">
        <v>2.6</v>
      </c>
      <c r="H401" s="591">
        <f t="shared" si="32"/>
        <v>0.4</v>
      </c>
      <c r="I401" s="596">
        <v>0.1</v>
      </c>
      <c r="J401" s="597">
        <f t="shared" si="29"/>
        <v>0.10400000000000001</v>
      </c>
      <c r="K401" s="592"/>
    </row>
    <row r="402" spans="1:11">
      <c r="A402" s="568"/>
      <c r="B402" s="601" t="s">
        <v>1065</v>
      </c>
      <c r="C402" s="593" t="s">
        <v>1072</v>
      </c>
      <c r="D402" s="578">
        <v>1</v>
      </c>
      <c r="E402" s="579" t="s">
        <v>8</v>
      </c>
      <c r="F402" s="569">
        <v>1</v>
      </c>
      <c r="G402" s="590">
        <v>6.7990000000000004</v>
      </c>
      <c r="H402" s="591">
        <f t="shared" si="32"/>
        <v>0.4</v>
      </c>
      <c r="I402" s="596">
        <v>0.1</v>
      </c>
      <c r="J402" s="597">
        <f t="shared" si="29"/>
        <v>0.27196000000000004</v>
      </c>
      <c r="K402" s="592"/>
    </row>
    <row r="403" spans="1:11">
      <c r="A403" s="568"/>
      <c r="B403" s="601" t="s">
        <v>1073</v>
      </c>
      <c r="C403" s="593" t="s">
        <v>1074</v>
      </c>
      <c r="D403" s="578">
        <v>1</v>
      </c>
      <c r="E403" s="579" t="s">
        <v>8</v>
      </c>
      <c r="F403" s="569">
        <v>1</v>
      </c>
      <c r="G403" s="590">
        <v>11.8</v>
      </c>
      <c r="H403" s="591">
        <f t="shared" si="32"/>
        <v>0.4</v>
      </c>
      <c r="I403" s="596">
        <v>0.1</v>
      </c>
      <c r="J403" s="597">
        <f t="shared" si="29"/>
        <v>0.47200000000000009</v>
      </c>
      <c r="K403" s="592"/>
    </row>
    <row r="404" spans="1:11">
      <c r="A404" s="568"/>
      <c r="B404" s="601" t="s">
        <v>1075</v>
      </c>
      <c r="C404" s="593" t="s">
        <v>1076</v>
      </c>
      <c r="D404" s="578">
        <v>1</v>
      </c>
      <c r="E404" s="579" t="s">
        <v>8</v>
      </c>
      <c r="F404" s="569">
        <v>1</v>
      </c>
      <c r="G404" s="590">
        <v>6.7990000000000004</v>
      </c>
      <c r="H404" s="591">
        <f t="shared" si="32"/>
        <v>0.4</v>
      </c>
      <c r="I404" s="596">
        <v>0.1</v>
      </c>
      <c r="J404" s="597">
        <f t="shared" si="29"/>
        <v>0.27196000000000004</v>
      </c>
      <c r="K404" s="592"/>
    </row>
    <row r="405" spans="1:11">
      <c r="A405" s="568"/>
      <c r="B405" s="601" t="s">
        <v>1077</v>
      </c>
      <c r="C405" s="593" t="s">
        <v>1078</v>
      </c>
      <c r="D405" s="578">
        <v>1</v>
      </c>
      <c r="E405" s="579" t="s">
        <v>8</v>
      </c>
      <c r="F405" s="569">
        <v>1</v>
      </c>
      <c r="G405" s="590">
        <v>11.9</v>
      </c>
      <c r="H405" s="591">
        <f t="shared" si="32"/>
        <v>0.4</v>
      </c>
      <c r="I405" s="596">
        <v>0.1</v>
      </c>
      <c r="J405" s="597">
        <f t="shared" si="29"/>
        <v>0.47600000000000009</v>
      </c>
      <c r="K405" s="592"/>
    </row>
    <row r="406" spans="1:11">
      <c r="A406" s="568"/>
      <c r="B406" s="601" t="s">
        <v>1079</v>
      </c>
      <c r="C406" s="593" t="s">
        <v>1078</v>
      </c>
      <c r="D406" s="578">
        <v>1</v>
      </c>
      <c r="E406" s="579" t="s">
        <v>8</v>
      </c>
      <c r="F406" s="569">
        <v>1</v>
      </c>
      <c r="G406" s="590">
        <v>12.201000000000001</v>
      </c>
      <c r="H406" s="591">
        <f t="shared" si="32"/>
        <v>0.4</v>
      </c>
      <c r="I406" s="596">
        <v>0.1</v>
      </c>
      <c r="J406" s="597">
        <f t="shared" si="29"/>
        <v>0.48804000000000008</v>
      </c>
      <c r="K406" s="592"/>
    </row>
    <row r="407" spans="1:11">
      <c r="A407" s="568"/>
      <c r="B407" s="601" t="s">
        <v>1080</v>
      </c>
      <c r="C407" s="593" t="s">
        <v>1081</v>
      </c>
      <c r="D407" s="578">
        <v>1</v>
      </c>
      <c r="E407" s="579" t="s">
        <v>8</v>
      </c>
      <c r="F407" s="569">
        <v>1</v>
      </c>
      <c r="G407" s="590">
        <v>8.2010000000000005</v>
      </c>
      <c r="H407" s="591">
        <f t="shared" si="32"/>
        <v>0.4</v>
      </c>
      <c r="I407" s="596">
        <v>0.1</v>
      </c>
      <c r="J407" s="597">
        <f t="shared" si="29"/>
        <v>0.32804000000000005</v>
      </c>
      <c r="K407" s="592"/>
    </row>
    <row r="408" spans="1:11">
      <c r="A408" s="568"/>
      <c r="B408" s="601" t="s">
        <v>1082</v>
      </c>
      <c r="C408" s="593" t="s">
        <v>1083</v>
      </c>
      <c r="D408" s="578">
        <v>1</v>
      </c>
      <c r="E408" s="579" t="s">
        <v>8</v>
      </c>
      <c r="F408" s="569">
        <v>1</v>
      </c>
      <c r="G408" s="590">
        <v>11.01</v>
      </c>
      <c r="H408" s="591">
        <f t="shared" si="32"/>
        <v>0.4</v>
      </c>
      <c r="I408" s="596">
        <v>0.1</v>
      </c>
      <c r="J408" s="597">
        <f t="shared" si="29"/>
        <v>0.44040000000000001</v>
      </c>
      <c r="K408" s="592"/>
    </row>
    <row r="409" spans="1:11">
      <c r="A409" s="568"/>
      <c r="B409" s="601" t="s">
        <v>1084</v>
      </c>
      <c r="C409" s="593" t="s">
        <v>1094</v>
      </c>
      <c r="D409" s="578">
        <v>1</v>
      </c>
      <c r="E409" s="579" t="s">
        <v>8</v>
      </c>
      <c r="F409" s="569">
        <v>1</v>
      </c>
      <c r="G409" s="590">
        <v>4.2</v>
      </c>
      <c r="H409" s="591">
        <f t="shared" si="32"/>
        <v>0.4</v>
      </c>
      <c r="I409" s="596">
        <v>0.1</v>
      </c>
      <c r="J409" s="597">
        <f t="shared" si="29"/>
        <v>0.16800000000000004</v>
      </c>
      <c r="K409" s="592"/>
    </row>
    <row r="410" spans="1:11">
      <c r="A410" s="568"/>
      <c r="B410" s="601" t="s">
        <v>1086</v>
      </c>
      <c r="C410" s="593" t="s">
        <v>1094</v>
      </c>
      <c r="D410" s="578">
        <v>1</v>
      </c>
      <c r="E410" s="579" t="s">
        <v>8</v>
      </c>
      <c r="F410" s="569">
        <v>1</v>
      </c>
      <c r="G410" s="590">
        <v>1.1000000000000001</v>
      </c>
      <c r="H410" s="591">
        <f t="shared" si="32"/>
        <v>0.4</v>
      </c>
      <c r="I410" s="596">
        <v>0.1</v>
      </c>
      <c r="J410" s="597">
        <f t="shared" si="29"/>
        <v>4.4000000000000011E-2</v>
      </c>
      <c r="K410" s="592"/>
    </row>
    <row r="411" spans="1:11">
      <c r="A411" s="568"/>
      <c r="B411" s="601" t="s">
        <v>1087</v>
      </c>
      <c r="C411" s="593" t="s">
        <v>1095</v>
      </c>
      <c r="D411" s="578">
        <v>1</v>
      </c>
      <c r="E411" s="579" t="s">
        <v>8</v>
      </c>
      <c r="F411" s="569">
        <v>1</v>
      </c>
      <c r="G411" s="590">
        <v>3</v>
      </c>
      <c r="H411" s="591">
        <f t="shared" si="32"/>
        <v>0.4</v>
      </c>
      <c r="I411" s="596">
        <v>0.1</v>
      </c>
      <c r="J411" s="597">
        <f t="shared" si="29"/>
        <v>0.12000000000000002</v>
      </c>
      <c r="K411" s="592"/>
    </row>
    <row r="412" spans="1:11">
      <c r="A412" s="568"/>
      <c r="B412" s="601" t="s">
        <v>1089</v>
      </c>
      <c r="C412" s="593" t="s">
        <v>1090</v>
      </c>
      <c r="D412" s="578">
        <v>1</v>
      </c>
      <c r="E412" s="579" t="s">
        <v>8</v>
      </c>
      <c r="F412" s="569">
        <v>1</v>
      </c>
      <c r="G412" s="590">
        <v>12.201000000000001</v>
      </c>
      <c r="H412" s="591">
        <f t="shared" si="32"/>
        <v>0.4</v>
      </c>
      <c r="I412" s="596">
        <v>0.1</v>
      </c>
      <c r="J412" s="597">
        <f t="shared" si="29"/>
        <v>0.48804000000000008</v>
      </c>
      <c r="K412" s="592"/>
    </row>
    <row r="413" spans="1:11">
      <c r="A413" s="568"/>
      <c r="B413" s="601" t="s">
        <v>1091</v>
      </c>
      <c r="C413" s="593" t="s">
        <v>1090</v>
      </c>
      <c r="D413" s="578">
        <v>1</v>
      </c>
      <c r="E413" s="579" t="s">
        <v>8</v>
      </c>
      <c r="F413" s="569">
        <v>1</v>
      </c>
      <c r="G413" s="590">
        <v>8.2010000000000005</v>
      </c>
      <c r="H413" s="591">
        <f t="shared" si="32"/>
        <v>0.4</v>
      </c>
      <c r="I413" s="596">
        <v>0.1</v>
      </c>
      <c r="J413" s="597">
        <f t="shared" si="29"/>
        <v>0.32804000000000005</v>
      </c>
      <c r="K413" s="592"/>
    </row>
    <row r="414" spans="1:11">
      <c r="A414" s="568"/>
      <c r="B414" s="601" t="s">
        <v>606</v>
      </c>
      <c r="C414" s="593"/>
      <c r="D414" s="578">
        <v>1</v>
      </c>
      <c r="E414" s="579" t="s">
        <v>8</v>
      </c>
      <c r="F414" s="569">
        <v>1</v>
      </c>
      <c r="G414" s="590">
        <v>5.4</v>
      </c>
      <c r="H414" s="591">
        <v>1.9</v>
      </c>
      <c r="I414" s="591">
        <v>0.1</v>
      </c>
      <c r="J414" s="591">
        <f>PRODUCT(D414:I414)</f>
        <v>1.026</v>
      </c>
      <c r="K414" s="592"/>
    </row>
    <row r="415" spans="1:11">
      <c r="A415" s="568"/>
      <c r="B415" s="601" t="s">
        <v>1360</v>
      </c>
      <c r="C415" s="593"/>
      <c r="D415" s="578">
        <v>1</v>
      </c>
      <c r="E415" s="579" t="s">
        <v>8</v>
      </c>
      <c r="F415" s="569">
        <v>1</v>
      </c>
      <c r="G415" s="590">
        <v>3.5</v>
      </c>
      <c r="H415" s="591">
        <v>2.4</v>
      </c>
      <c r="I415" s="591">
        <v>0.1</v>
      </c>
      <c r="J415" s="591">
        <f>PRODUCT(D415:I415)</f>
        <v>0.84000000000000008</v>
      </c>
      <c r="K415" s="592"/>
    </row>
    <row r="416" spans="1:11">
      <c r="A416" s="568"/>
      <c r="B416" s="593" t="s">
        <v>1421</v>
      </c>
      <c r="C416" s="599"/>
      <c r="D416" s="578">
        <v>1</v>
      </c>
      <c r="E416" s="579" t="s">
        <v>8</v>
      </c>
      <c r="F416" s="569">
        <v>1</v>
      </c>
      <c r="G416" s="600">
        <v>6.7</v>
      </c>
      <c r="H416" s="600">
        <v>0.45</v>
      </c>
      <c r="I416" s="600">
        <v>0.1</v>
      </c>
      <c r="J416" s="597">
        <f t="shared" ref="J416:J418" si="33">PRODUCT(D416:I416)</f>
        <v>0.30150000000000005</v>
      </c>
      <c r="K416" s="568"/>
    </row>
    <row r="417" spans="1:11">
      <c r="A417" s="568"/>
      <c r="B417" s="593"/>
      <c r="C417" s="599"/>
      <c r="D417" s="578">
        <v>1</v>
      </c>
      <c r="E417" s="579" t="s">
        <v>8</v>
      </c>
      <c r="F417" s="569">
        <v>1</v>
      </c>
      <c r="G417" s="600">
        <v>1.8</v>
      </c>
      <c r="H417" s="600">
        <v>0.2</v>
      </c>
      <c r="I417" s="600">
        <v>0.1</v>
      </c>
      <c r="J417" s="597">
        <f t="shared" si="33"/>
        <v>3.6000000000000004E-2</v>
      </c>
      <c r="K417" s="568"/>
    </row>
    <row r="418" spans="1:11">
      <c r="A418" s="568"/>
      <c r="B418" s="593"/>
      <c r="C418" s="599"/>
      <c r="D418" s="578">
        <v>1</v>
      </c>
      <c r="E418" s="579" t="s">
        <v>8</v>
      </c>
      <c r="F418" s="569">
        <v>1</v>
      </c>
      <c r="G418" s="600">
        <v>9.5</v>
      </c>
      <c r="H418" s="600">
        <v>0.3</v>
      </c>
      <c r="I418" s="600">
        <v>0.1</v>
      </c>
      <c r="J418" s="597">
        <f t="shared" si="33"/>
        <v>0.28500000000000003</v>
      </c>
      <c r="K418" s="568"/>
    </row>
    <row r="419" spans="1:11">
      <c r="A419" s="568"/>
      <c r="B419" s="593"/>
      <c r="C419" s="599"/>
      <c r="G419" s="600"/>
      <c r="H419" s="600"/>
      <c r="I419" s="600"/>
      <c r="J419" s="597"/>
      <c r="K419" s="568"/>
    </row>
    <row r="420" spans="1:11">
      <c r="A420" s="568"/>
      <c r="B420" s="593" t="s">
        <v>1340</v>
      </c>
      <c r="C420" s="606"/>
      <c r="D420" s="578">
        <v>1</v>
      </c>
      <c r="E420" s="579" t="s">
        <v>8</v>
      </c>
      <c r="F420" s="569">
        <v>1</v>
      </c>
      <c r="G420" s="600">
        <f>10.11+0.1+0.1</f>
        <v>10.309999999999999</v>
      </c>
      <c r="H420" s="600">
        <f>4+0.1+0.1</f>
        <v>4.1999999999999993</v>
      </c>
      <c r="I420" s="600">
        <v>0.1</v>
      </c>
      <c r="J420" s="597">
        <f>PRODUCT(D420:I420)</f>
        <v>4.3301999999999987</v>
      </c>
      <c r="K420" s="581"/>
    </row>
    <row r="421" spans="1:11">
      <c r="A421" s="568"/>
      <c r="B421" s="593" t="s">
        <v>1336</v>
      </c>
      <c r="C421" s="606"/>
      <c r="D421" s="578">
        <v>1</v>
      </c>
      <c r="E421" s="579" t="s">
        <v>8</v>
      </c>
      <c r="F421" s="569">
        <v>1</v>
      </c>
      <c r="G421" s="600">
        <v>3.7</v>
      </c>
      <c r="H421" s="600">
        <v>8</v>
      </c>
      <c r="I421" s="600">
        <v>0.15</v>
      </c>
      <c r="J421" s="597">
        <f>PRODUCT(D421:I421)</f>
        <v>4.4400000000000004</v>
      </c>
      <c r="K421" s="581"/>
    </row>
    <row r="422" spans="1:11">
      <c r="A422" s="568"/>
      <c r="B422" s="593" t="s">
        <v>1337</v>
      </c>
      <c r="C422" s="606"/>
      <c r="D422" s="578">
        <v>1</v>
      </c>
      <c r="E422" s="579" t="s">
        <v>8</v>
      </c>
      <c r="F422" s="569">
        <v>1</v>
      </c>
      <c r="G422" s="600">
        <v>7.4</v>
      </c>
      <c r="H422" s="600">
        <v>3.3</v>
      </c>
      <c r="I422" s="600">
        <v>0.15</v>
      </c>
      <c r="J422" s="597">
        <f>PRODUCT(D422:I422)</f>
        <v>3.6629999999999994</v>
      </c>
      <c r="K422" s="581"/>
    </row>
    <row r="423" spans="1:11">
      <c r="A423" s="568"/>
      <c r="B423" s="593" t="s">
        <v>1369</v>
      </c>
      <c r="C423" s="599"/>
      <c r="D423" s="578">
        <v>1</v>
      </c>
      <c r="E423" s="579" t="s">
        <v>8</v>
      </c>
      <c r="F423" s="569">
        <v>1</v>
      </c>
      <c r="G423" s="600">
        <v>10.5</v>
      </c>
      <c r="H423" s="600">
        <v>3.7</v>
      </c>
      <c r="I423" s="600">
        <v>0.1</v>
      </c>
      <c r="J423" s="597">
        <f>PRODUCT(D423:I423)</f>
        <v>3.8850000000000002</v>
      </c>
      <c r="K423" s="581"/>
    </row>
    <row r="424" spans="1:11">
      <c r="A424" s="568"/>
      <c r="B424" s="593"/>
      <c r="C424" s="589"/>
      <c r="G424" s="590"/>
      <c r="H424" s="591"/>
      <c r="I424" s="591"/>
      <c r="J424" s="605">
        <f>SUM(J321:J423)</f>
        <v>80.612459700000031</v>
      </c>
      <c r="K424" s="592"/>
    </row>
    <row r="425" spans="1:11">
      <c r="A425" s="568"/>
      <c r="B425" s="610" t="s">
        <v>28</v>
      </c>
      <c r="C425" s="589"/>
      <c r="G425" s="590"/>
      <c r="H425" s="591"/>
      <c r="I425" s="591"/>
      <c r="J425" s="605">
        <f>ROUNDUP(J424,0)</f>
        <v>81</v>
      </c>
      <c r="K425" s="592" t="s">
        <v>52</v>
      </c>
    </row>
    <row r="426" spans="1:11" s="575" customFormat="1" ht="154.15" customHeight="1">
      <c r="A426" s="583">
        <f>A319+1</f>
        <v>6</v>
      </c>
      <c r="B426" s="720" t="str">
        <f>'BOQ-C&amp;I'!C30</f>
        <v>Providing, supplying and laying of plain cement concrete using 1:3:6 (1 of Cement : 3 of M.Sand : 4 of Aggregate) grade of any thickness  having 20 mm down grade course graded aggregate including laying the screed with the top to the required line, level and alignment but finishing the top roughly to receive the final layer of flooring of any pattern and design ( Screed Concrete ) - Below Basement /  Raft / UG Sump / STP/ETP/Collection well etc., Rate including all materials, labour charges, wastages , mixing, transportation, lead &amp; Lifts, curing, compaction etc. as complete with all respects complying with relevant standard specification, as directed by the departmental officers.</v>
      </c>
      <c r="C426" s="721"/>
      <c r="D426" s="721"/>
      <c r="E426" s="721"/>
      <c r="F426" s="721"/>
      <c r="G426" s="721"/>
      <c r="H426" s="721"/>
      <c r="I426" s="721"/>
      <c r="J426" s="721"/>
      <c r="K426" s="722"/>
    </row>
    <row r="427" spans="1:11">
      <c r="A427" s="568"/>
      <c r="B427" s="593" t="s">
        <v>12</v>
      </c>
      <c r="C427" s="577"/>
      <c r="D427" s="578">
        <v>1</v>
      </c>
      <c r="E427" s="579" t="s">
        <v>8</v>
      </c>
      <c r="F427" s="569">
        <v>1</v>
      </c>
      <c r="G427" s="715">
        <v>630</v>
      </c>
      <c r="H427" s="716"/>
      <c r="I427" s="603">
        <v>0.1</v>
      </c>
      <c r="J427" s="598">
        <f t="shared" ref="J427" si="34">ROUNDUP(PRODUCT(D427:I427),2)</f>
        <v>63</v>
      </c>
      <c r="K427" s="581"/>
    </row>
    <row r="428" spans="1:11">
      <c r="A428" s="568"/>
      <c r="B428" s="593"/>
      <c r="C428" s="577"/>
      <c r="G428" s="612"/>
      <c r="H428" s="598"/>
      <c r="I428" s="598"/>
      <c r="J428" s="614">
        <f>SUM(J427:J427)</f>
        <v>63</v>
      </c>
      <c r="K428" s="581"/>
    </row>
    <row r="429" spans="1:11">
      <c r="A429" s="568"/>
      <c r="B429" s="610" t="s">
        <v>28</v>
      </c>
      <c r="C429" s="577"/>
      <c r="G429" s="612"/>
      <c r="H429" s="598"/>
      <c r="I429" s="598"/>
      <c r="J429" s="605">
        <f>ROUNDUP(J428,0)</f>
        <v>63</v>
      </c>
      <c r="K429" s="576" t="s">
        <v>52</v>
      </c>
    </row>
    <row r="430" spans="1:11">
      <c r="A430" s="568"/>
      <c r="B430" s="593"/>
      <c r="C430" s="577"/>
      <c r="G430" s="612"/>
      <c r="H430" s="598"/>
      <c r="I430" s="598"/>
      <c r="J430" s="598"/>
      <c r="K430" s="581"/>
    </row>
    <row r="431" spans="1:11">
      <c r="A431" s="568"/>
      <c r="B431" s="576" t="str">
        <f>'BOQ-C&amp;I'!C31</f>
        <v>REINFORCED CEMENT CONCRETE</v>
      </c>
      <c r="C431" s="577"/>
      <c r="G431" s="612"/>
      <c r="H431" s="598"/>
      <c r="I431" s="598"/>
      <c r="J431" s="598"/>
      <c r="K431" s="581"/>
    </row>
    <row r="432" spans="1:11" s="575" customFormat="1" ht="165.6" customHeight="1">
      <c r="A432" s="583">
        <f>+A426+1</f>
        <v>7</v>
      </c>
      <c r="B432" s="712" t="str">
        <f>'BOQ-C&amp;I'!C32</f>
        <v xml:space="preserve">Providing and laying in position, Standardised Concrete Mix M-30 Grade in accordance with IS:456-2000, using 20mm and down graded hard broken granite stone jelly for all RCC items of works with minimum cement content of 400 kg/mᶾ and maximum water cement ratio of 0.45, including admixture (plasticiser / super plasticiser) in recommended proportions as per IS:9103 to accelerate, retard setting of concrete, improve workability without impairing strength and durability with about (5.0 cu.m.) 7730 kg. of 20mm machine crushed stone jelly and with about (3.3 cu.m.) 5156 kg. of 10-12mm machine crushed stone jelly and with about (4.79 cu.m.) 7670 kg. of M.Sand, but excluding cost of reinforcement grill and fabricating charges, centering and shuttering and also including laying, vibrating with mechanical vibrators, finishing, curing, etc. and providing fixtures like fan clamps in the RCC floor/ roof slabs wherever necessary without claiming extra, etc., complete complying with standard specification and as directed by the departmental officers.  </v>
      </c>
      <c r="C432" s="713"/>
      <c r="D432" s="713"/>
      <c r="E432" s="713"/>
      <c r="F432" s="713"/>
      <c r="G432" s="713"/>
      <c r="H432" s="713"/>
      <c r="I432" s="713"/>
      <c r="J432" s="713"/>
      <c r="K432" s="714"/>
    </row>
    <row r="433" spans="1:11">
      <c r="A433" s="568" t="s">
        <v>71</v>
      </c>
      <c r="B433" s="584" t="str">
        <f>'BOQ-C&amp;I'!C33</f>
        <v>Foundation / Basement</v>
      </c>
      <c r="C433" s="577"/>
      <c r="G433" s="612"/>
      <c r="H433" s="598"/>
      <c r="I433" s="598"/>
      <c r="J433" s="598"/>
      <c r="K433" s="581"/>
    </row>
    <row r="434" spans="1:11">
      <c r="A434" s="568"/>
      <c r="B434" s="593" t="s">
        <v>648</v>
      </c>
      <c r="C434" s="589"/>
      <c r="G434" s="590"/>
      <c r="H434" s="591"/>
      <c r="I434" s="591"/>
      <c r="J434" s="591"/>
      <c r="K434" s="592"/>
    </row>
    <row r="435" spans="1:11">
      <c r="A435" s="568"/>
      <c r="B435" s="593" t="s">
        <v>649</v>
      </c>
      <c r="C435" s="589"/>
      <c r="D435" s="578">
        <v>1</v>
      </c>
      <c r="E435" s="579" t="s">
        <v>8</v>
      </c>
      <c r="F435" s="569">
        <v>5</v>
      </c>
      <c r="G435" s="594">
        <f>3.3</f>
        <v>3.3</v>
      </c>
      <c r="H435" s="595">
        <f>2.3</f>
        <v>2.2999999999999998</v>
      </c>
      <c r="I435" s="596">
        <v>0.75</v>
      </c>
      <c r="J435" s="597">
        <f>PRODUCT(D435:I435)</f>
        <v>28.462499999999999</v>
      </c>
      <c r="K435" s="592"/>
    </row>
    <row r="436" spans="1:11">
      <c r="A436" s="568"/>
      <c r="B436" s="593" t="s">
        <v>650</v>
      </c>
      <c r="C436" s="589"/>
      <c r="D436" s="578">
        <v>1</v>
      </c>
      <c r="E436" s="579" t="s">
        <v>8</v>
      </c>
      <c r="F436" s="569">
        <v>2</v>
      </c>
      <c r="G436" s="594">
        <f>2.55</f>
        <v>2.5499999999999998</v>
      </c>
      <c r="H436" s="594">
        <f>2.55</f>
        <v>2.5499999999999998</v>
      </c>
      <c r="I436" s="596">
        <v>0.7</v>
      </c>
      <c r="J436" s="597">
        <f t="shared" ref="J436:J468" si="35">PRODUCT(D436:I436)</f>
        <v>9.1034999999999986</v>
      </c>
      <c r="K436" s="592"/>
    </row>
    <row r="437" spans="1:11">
      <c r="A437" s="568"/>
      <c r="B437" s="593" t="s">
        <v>651</v>
      </c>
      <c r="C437" s="589"/>
      <c r="D437" s="578">
        <v>1</v>
      </c>
      <c r="E437" s="579" t="s">
        <v>8</v>
      </c>
      <c r="F437" s="569">
        <v>7</v>
      </c>
      <c r="G437" s="598">
        <f>2.8</f>
        <v>2.8</v>
      </c>
      <c r="H437" s="598">
        <f>2.1</f>
        <v>2.1</v>
      </c>
      <c r="I437" s="596">
        <v>0.7</v>
      </c>
      <c r="J437" s="597">
        <f t="shared" si="35"/>
        <v>28.811999999999994</v>
      </c>
      <c r="K437" s="592"/>
    </row>
    <row r="438" spans="1:11">
      <c r="A438" s="568"/>
      <c r="B438" s="593" t="s">
        <v>652</v>
      </c>
      <c r="C438" s="589"/>
      <c r="D438" s="578">
        <v>1</v>
      </c>
      <c r="E438" s="579" t="s">
        <v>8</v>
      </c>
      <c r="F438" s="569">
        <v>1</v>
      </c>
      <c r="G438" s="594">
        <f>3.2</f>
        <v>3.2</v>
      </c>
      <c r="H438" s="594">
        <f>2.5</f>
        <v>2.5</v>
      </c>
      <c r="I438" s="596">
        <v>0.6</v>
      </c>
      <c r="J438" s="597">
        <f t="shared" si="35"/>
        <v>4.8</v>
      </c>
      <c r="K438" s="592"/>
    </row>
    <row r="439" spans="1:11">
      <c r="A439" s="568"/>
      <c r="B439" s="593" t="s">
        <v>653</v>
      </c>
      <c r="C439" s="589"/>
      <c r="D439" s="578">
        <v>1</v>
      </c>
      <c r="E439" s="579" t="s">
        <v>8</v>
      </c>
      <c r="F439" s="569">
        <v>1</v>
      </c>
      <c r="G439" s="594">
        <f>2.5</f>
        <v>2.5</v>
      </c>
      <c r="H439" s="594">
        <f>2.5</f>
        <v>2.5</v>
      </c>
      <c r="I439" s="596">
        <v>0.7</v>
      </c>
      <c r="J439" s="597">
        <f t="shared" si="35"/>
        <v>4.375</v>
      </c>
      <c r="K439" s="592"/>
    </row>
    <row r="440" spans="1:11">
      <c r="A440" s="568"/>
      <c r="B440" s="593" t="s">
        <v>654</v>
      </c>
      <c r="C440" s="589"/>
      <c r="D440" s="578">
        <v>1</v>
      </c>
      <c r="E440" s="579" t="s">
        <v>8</v>
      </c>
      <c r="F440" s="569">
        <v>2</v>
      </c>
      <c r="G440" s="594">
        <f>1.85</f>
        <v>1.85</v>
      </c>
      <c r="H440" s="594">
        <f>1.45</f>
        <v>1.45</v>
      </c>
      <c r="I440" s="596">
        <v>0.5</v>
      </c>
      <c r="J440" s="597">
        <f t="shared" si="35"/>
        <v>2.6825000000000001</v>
      </c>
      <c r="K440" s="592"/>
    </row>
    <row r="441" spans="1:11">
      <c r="A441" s="568"/>
      <c r="B441" s="593" t="s">
        <v>655</v>
      </c>
      <c r="C441" s="589"/>
      <c r="D441" s="578">
        <v>1</v>
      </c>
      <c r="E441" s="579" t="s">
        <v>8</v>
      </c>
      <c r="F441" s="569">
        <v>1</v>
      </c>
      <c r="G441" s="594">
        <f>3.2</f>
        <v>3.2</v>
      </c>
      <c r="H441" s="594">
        <f>2.6</f>
        <v>2.6</v>
      </c>
      <c r="I441" s="596">
        <v>0.8</v>
      </c>
      <c r="J441" s="597">
        <f t="shared" si="35"/>
        <v>6.6560000000000006</v>
      </c>
      <c r="K441" s="592"/>
    </row>
    <row r="442" spans="1:11">
      <c r="A442" s="568"/>
      <c r="B442" s="593" t="s">
        <v>1006</v>
      </c>
      <c r="C442" s="589"/>
      <c r="D442" s="578">
        <v>1</v>
      </c>
      <c r="E442" s="579" t="s">
        <v>8</v>
      </c>
      <c r="F442" s="569">
        <v>2</v>
      </c>
      <c r="G442" s="594">
        <f>2.5</f>
        <v>2.5</v>
      </c>
      <c r="H442" s="594">
        <f>1.9</f>
        <v>1.9</v>
      </c>
      <c r="I442" s="596">
        <v>0.6</v>
      </c>
      <c r="J442" s="597">
        <f t="shared" si="35"/>
        <v>5.7</v>
      </c>
      <c r="K442" s="592"/>
    </row>
    <row r="443" spans="1:11">
      <c r="A443" s="568"/>
      <c r="B443" s="593" t="s">
        <v>1007</v>
      </c>
      <c r="C443" s="589"/>
      <c r="D443" s="578">
        <v>1</v>
      </c>
      <c r="E443" s="579" t="s">
        <v>8</v>
      </c>
      <c r="F443" s="569">
        <v>1</v>
      </c>
      <c r="G443" s="594">
        <f>3.65</f>
        <v>3.65</v>
      </c>
      <c r="H443" s="594">
        <f>2.65</f>
        <v>2.65</v>
      </c>
      <c r="I443" s="596">
        <v>0.8</v>
      </c>
      <c r="J443" s="597">
        <f t="shared" si="35"/>
        <v>7.7379999999999995</v>
      </c>
      <c r="K443" s="592"/>
    </row>
    <row r="444" spans="1:11">
      <c r="A444" s="568"/>
      <c r="B444" s="593" t="s">
        <v>1008</v>
      </c>
      <c r="C444" s="589"/>
      <c r="D444" s="578">
        <v>1</v>
      </c>
      <c r="E444" s="579" t="s">
        <v>8</v>
      </c>
      <c r="F444" s="569">
        <v>1</v>
      </c>
      <c r="G444" s="594">
        <f>2.5</f>
        <v>2.5</v>
      </c>
      <c r="H444" s="594">
        <f>1.4</f>
        <v>1.4</v>
      </c>
      <c r="I444" s="596">
        <v>0.6</v>
      </c>
      <c r="J444" s="597">
        <f t="shared" si="35"/>
        <v>2.1</v>
      </c>
      <c r="K444" s="592"/>
    </row>
    <row r="445" spans="1:11">
      <c r="A445" s="568"/>
      <c r="B445" s="593" t="s">
        <v>1009</v>
      </c>
      <c r="C445" s="589"/>
      <c r="D445" s="578">
        <v>1</v>
      </c>
      <c r="E445" s="579" t="s">
        <v>8</v>
      </c>
      <c r="F445" s="569">
        <v>6</v>
      </c>
      <c r="G445" s="594">
        <f>1.5</f>
        <v>1.5</v>
      </c>
      <c r="H445" s="594">
        <f>1.2</f>
        <v>1.2</v>
      </c>
      <c r="I445" s="596">
        <v>0.375</v>
      </c>
      <c r="J445" s="597">
        <f t="shared" si="35"/>
        <v>4.05</v>
      </c>
      <c r="K445" s="592"/>
    </row>
    <row r="446" spans="1:11">
      <c r="A446" s="568"/>
      <c r="B446" s="593" t="s">
        <v>1010</v>
      </c>
      <c r="C446" s="589"/>
      <c r="D446" s="578">
        <v>1</v>
      </c>
      <c r="E446" s="579" t="s">
        <v>8</v>
      </c>
      <c r="F446" s="569">
        <v>1</v>
      </c>
      <c r="G446" s="594">
        <f>2.9</f>
        <v>2.9</v>
      </c>
      <c r="H446" s="594">
        <f>2.7</f>
        <v>2.7</v>
      </c>
      <c r="I446" s="596">
        <v>0.75</v>
      </c>
      <c r="J446" s="597">
        <f t="shared" si="35"/>
        <v>5.8725000000000005</v>
      </c>
      <c r="K446" s="592"/>
    </row>
    <row r="447" spans="1:11">
      <c r="A447" s="568"/>
      <c r="B447" s="593" t="s">
        <v>1011</v>
      </c>
      <c r="C447" s="589"/>
      <c r="D447" s="578">
        <v>1</v>
      </c>
      <c r="E447" s="579" t="s">
        <v>8</v>
      </c>
      <c r="F447" s="569">
        <v>2</v>
      </c>
      <c r="G447" s="594">
        <f>2.2</f>
        <v>2.2000000000000002</v>
      </c>
      <c r="H447" s="594">
        <f>1.65</f>
        <v>1.65</v>
      </c>
      <c r="I447" s="596">
        <v>0.55000000000000004</v>
      </c>
      <c r="J447" s="597">
        <f t="shared" si="35"/>
        <v>3.9930000000000003</v>
      </c>
      <c r="K447" s="592"/>
    </row>
    <row r="448" spans="1:11">
      <c r="A448" s="568"/>
      <c r="B448" s="593" t="s">
        <v>1012</v>
      </c>
      <c r="C448" s="589"/>
      <c r="D448" s="578">
        <v>1</v>
      </c>
      <c r="E448" s="579" t="s">
        <v>8</v>
      </c>
      <c r="F448" s="569">
        <v>2</v>
      </c>
      <c r="G448" s="594">
        <f>2.15</f>
        <v>2.15</v>
      </c>
      <c r="H448" s="594">
        <f>2.15</f>
        <v>2.15</v>
      </c>
      <c r="I448" s="596">
        <v>0.45</v>
      </c>
      <c r="J448" s="597">
        <f t="shared" si="35"/>
        <v>4.1602499999999996</v>
      </c>
      <c r="K448" s="592"/>
    </row>
    <row r="449" spans="1:11">
      <c r="A449" s="568"/>
      <c r="B449" s="593" t="s">
        <v>1013</v>
      </c>
      <c r="C449" s="589"/>
      <c r="D449" s="578">
        <v>1</v>
      </c>
      <c r="E449" s="579" t="s">
        <v>8</v>
      </c>
      <c r="F449" s="569">
        <v>2</v>
      </c>
      <c r="G449" s="594">
        <f>1.75</f>
        <v>1.75</v>
      </c>
      <c r="H449" s="594">
        <f>1.55</f>
        <v>1.55</v>
      </c>
      <c r="I449" s="596">
        <v>0.5</v>
      </c>
      <c r="J449" s="597">
        <f t="shared" si="35"/>
        <v>2.7124999999999999</v>
      </c>
      <c r="K449" s="592"/>
    </row>
    <row r="450" spans="1:11">
      <c r="A450" s="568"/>
      <c r="B450" s="593" t="s">
        <v>1014</v>
      </c>
      <c r="C450" s="589"/>
      <c r="D450" s="578">
        <v>1</v>
      </c>
      <c r="E450" s="579" t="s">
        <v>8</v>
      </c>
      <c r="F450" s="569">
        <v>2</v>
      </c>
      <c r="G450" s="594">
        <f>2.35</f>
        <v>2.35</v>
      </c>
      <c r="H450" s="594">
        <f>2.35</f>
        <v>2.35</v>
      </c>
      <c r="I450" s="596">
        <v>0.7</v>
      </c>
      <c r="J450" s="597">
        <f t="shared" si="35"/>
        <v>7.7315000000000005</v>
      </c>
      <c r="K450" s="592"/>
    </row>
    <row r="451" spans="1:11">
      <c r="A451" s="568"/>
      <c r="B451" s="593" t="s">
        <v>1015</v>
      </c>
      <c r="C451" s="589"/>
      <c r="D451" s="578">
        <v>1</v>
      </c>
      <c r="E451" s="579" t="s">
        <v>8</v>
      </c>
      <c r="F451" s="569">
        <v>1</v>
      </c>
      <c r="G451" s="594">
        <f>3</f>
        <v>3</v>
      </c>
      <c r="H451" s="594">
        <f>2.5</f>
        <v>2.5</v>
      </c>
      <c r="I451" s="596">
        <v>0.75</v>
      </c>
      <c r="J451" s="597">
        <f t="shared" si="35"/>
        <v>5.625</v>
      </c>
      <c r="K451" s="592"/>
    </row>
    <row r="452" spans="1:11">
      <c r="A452" s="568"/>
      <c r="B452" s="593" t="s">
        <v>1016</v>
      </c>
      <c r="C452" s="589"/>
      <c r="D452" s="578">
        <v>1</v>
      </c>
      <c r="E452" s="579" t="s">
        <v>8</v>
      </c>
      <c r="F452" s="569">
        <v>4</v>
      </c>
      <c r="G452" s="594">
        <f>1</f>
        <v>1</v>
      </c>
      <c r="H452" s="594">
        <f>1</f>
        <v>1</v>
      </c>
      <c r="I452" s="596">
        <v>0.3</v>
      </c>
      <c r="J452" s="597">
        <f t="shared" si="35"/>
        <v>1.2</v>
      </c>
      <c r="K452" s="592"/>
    </row>
    <row r="453" spans="1:11">
      <c r="A453" s="568"/>
      <c r="B453" s="593" t="s">
        <v>656</v>
      </c>
      <c r="C453" s="589"/>
      <c r="D453" s="578">
        <v>1</v>
      </c>
      <c r="E453" s="579" t="s">
        <v>8</v>
      </c>
      <c r="F453" s="569">
        <v>1</v>
      </c>
      <c r="G453" s="598">
        <f>5</f>
        <v>5</v>
      </c>
      <c r="H453" s="598">
        <f>1.75</f>
        <v>1.75</v>
      </c>
      <c r="I453" s="596">
        <v>0.9</v>
      </c>
      <c r="J453" s="597">
        <f t="shared" si="35"/>
        <v>7.875</v>
      </c>
      <c r="K453" s="592"/>
    </row>
    <row r="454" spans="1:11">
      <c r="A454" s="568"/>
      <c r="B454" s="593" t="s">
        <v>657</v>
      </c>
      <c r="C454" s="589"/>
      <c r="D454" s="578">
        <v>1</v>
      </c>
      <c r="E454" s="579" t="s">
        <v>8</v>
      </c>
      <c r="F454" s="569">
        <v>1</v>
      </c>
      <c r="G454" s="594">
        <f>4.9</f>
        <v>4.9000000000000004</v>
      </c>
      <c r="H454" s="594">
        <f>2.9</f>
        <v>2.9</v>
      </c>
      <c r="I454" s="596">
        <v>0.85</v>
      </c>
      <c r="J454" s="597">
        <f t="shared" si="35"/>
        <v>12.0785</v>
      </c>
      <c r="K454" s="592"/>
    </row>
    <row r="455" spans="1:11">
      <c r="A455" s="568"/>
      <c r="B455" s="593" t="s">
        <v>658</v>
      </c>
      <c r="C455" s="589"/>
      <c r="D455" s="578">
        <v>1</v>
      </c>
      <c r="E455" s="579" t="s">
        <v>8</v>
      </c>
      <c r="F455" s="569">
        <v>1</v>
      </c>
      <c r="G455" s="594">
        <f>7.65</f>
        <v>7.65</v>
      </c>
      <c r="H455" s="594">
        <f>3.3</f>
        <v>3.3</v>
      </c>
      <c r="I455" s="596">
        <v>0.85</v>
      </c>
      <c r="J455" s="597">
        <f t="shared" si="35"/>
        <v>21.45825</v>
      </c>
      <c r="K455" s="592"/>
    </row>
    <row r="456" spans="1:11">
      <c r="A456" s="568"/>
      <c r="B456" s="593" t="s">
        <v>1017</v>
      </c>
      <c r="C456" s="589"/>
      <c r="D456" s="578">
        <v>1</v>
      </c>
      <c r="E456" s="579" t="s">
        <v>8</v>
      </c>
      <c r="F456" s="569">
        <v>1</v>
      </c>
      <c r="G456" s="594">
        <f>5.5</f>
        <v>5.5</v>
      </c>
      <c r="H456" s="594">
        <f>2.8</f>
        <v>2.8</v>
      </c>
      <c r="I456" s="596">
        <v>0.8</v>
      </c>
      <c r="J456" s="597">
        <f t="shared" si="35"/>
        <v>12.32</v>
      </c>
      <c r="K456" s="592"/>
    </row>
    <row r="457" spans="1:11">
      <c r="A457" s="568"/>
      <c r="B457" s="593" t="s">
        <v>1018</v>
      </c>
      <c r="C457" s="589"/>
      <c r="D457" s="578">
        <v>1</v>
      </c>
      <c r="E457" s="579" t="s">
        <v>8</v>
      </c>
      <c r="F457" s="569">
        <v>1</v>
      </c>
      <c r="G457" s="594">
        <f>5.85</f>
        <v>5.85</v>
      </c>
      <c r="H457" s="594">
        <f>2.45</f>
        <v>2.4500000000000002</v>
      </c>
      <c r="I457" s="596">
        <v>0.9</v>
      </c>
      <c r="J457" s="597">
        <f t="shared" si="35"/>
        <v>12.89925</v>
      </c>
      <c r="K457" s="592"/>
    </row>
    <row r="458" spans="1:11">
      <c r="A458" s="568"/>
      <c r="B458" s="581" t="s">
        <v>1019</v>
      </c>
      <c r="C458" s="581"/>
      <c r="D458" s="578">
        <v>1</v>
      </c>
      <c r="E458" s="579" t="s">
        <v>8</v>
      </c>
      <c r="F458" s="569">
        <v>1</v>
      </c>
      <c r="G458" s="594">
        <f>5.8</f>
        <v>5.8</v>
      </c>
      <c r="H458" s="594">
        <f>5.7</f>
        <v>5.7</v>
      </c>
      <c r="I458" s="596">
        <v>0.75</v>
      </c>
      <c r="J458" s="597">
        <f t="shared" si="35"/>
        <v>24.795000000000002</v>
      </c>
      <c r="K458" s="592"/>
    </row>
    <row r="459" spans="1:11">
      <c r="A459" s="568"/>
      <c r="B459" s="581" t="s">
        <v>1020</v>
      </c>
      <c r="C459" s="581"/>
      <c r="D459" s="578">
        <v>1</v>
      </c>
      <c r="E459" s="579" t="s">
        <v>8</v>
      </c>
      <c r="F459" s="569">
        <v>1</v>
      </c>
      <c r="G459" s="717">
        <f>30398772/1000000</f>
        <v>30.398772000000001</v>
      </c>
      <c r="H459" s="718"/>
      <c r="I459" s="596">
        <v>0.75</v>
      </c>
      <c r="J459" s="597">
        <f t="shared" si="35"/>
        <v>22.799078999999999</v>
      </c>
      <c r="K459" s="592"/>
    </row>
    <row r="460" spans="1:11">
      <c r="A460" s="568"/>
      <c r="B460" s="581" t="s">
        <v>1021</v>
      </c>
      <c r="C460" s="581"/>
      <c r="D460" s="578">
        <v>1</v>
      </c>
      <c r="E460" s="579" t="s">
        <v>8</v>
      </c>
      <c r="F460" s="569">
        <v>1</v>
      </c>
      <c r="G460" s="581">
        <f>5.025</f>
        <v>5.0250000000000004</v>
      </c>
      <c r="H460" s="581">
        <f>4.125</f>
        <v>4.125</v>
      </c>
      <c r="I460" s="596">
        <v>0.75</v>
      </c>
      <c r="J460" s="597">
        <f t="shared" si="35"/>
        <v>15.546093750000001</v>
      </c>
      <c r="K460" s="592"/>
    </row>
    <row r="461" spans="1:11">
      <c r="A461" s="568"/>
      <c r="B461" s="581" t="s">
        <v>1421</v>
      </c>
      <c r="C461" s="581"/>
      <c r="G461" s="603"/>
      <c r="H461" s="603"/>
      <c r="I461" s="596"/>
      <c r="J461" s="597"/>
      <c r="K461" s="592"/>
    </row>
    <row r="462" spans="1:11">
      <c r="A462" s="568"/>
      <c r="B462" s="593" t="s">
        <v>650</v>
      </c>
      <c r="C462" s="599"/>
      <c r="D462" s="578">
        <v>1</v>
      </c>
      <c r="E462" s="579" t="s">
        <v>8</v>
      </c>
      <c r="F462" s="569">
        <v>2</v>
      </c>
      <c r="G462" s="600">
        <v>1.5</v>
      </c>
      <c r="H462" s="600">
        <v>1.5</v>
      </c>
      <c r="I462" s="600">
        <v>0.45</v>
      </c>
      <c r="J462" s="597">
        <f t="shared" ref="J462:J464" si="36">PRODUCT(D462:I462)</f>
        <v>2.0249999999999999</v>
      </c>
      <c r="K462" s="568"/>
    </row>
    <row r="463" spans="1:11">
      <c r="A463" s="568"/>
      <c r="B463" s="593" t="s">
        <v>652</v>
      </c>
      <c r="C463" s="599"/>
      <c r="D463" s="578">
        <v>1</v>
      </c>
      <c r="E463" s="579" t="s">
        <v>8</v>
      </c>
      <c r="F463" s="569">
        <v>1</v>
      </c>
      <c r="G463" s="600">
        <v>1.2</v>
      </c>
      <c r="H463" s="600">
        <v>1.2</v>
      </c>
      <c r="I463" s="600">
        <v>0.45</v>
      </c>
      <c r="J463" s="597">
        <f t="shared" si="36"/>
        <v>0.64800000000000002</v>
      </c>
      <c r="K463" s="568"/>
    </row>
    <row r="464" spans="1:11">
      <c r="A464" s="568"/>
      <c r="B464" s="593" t="s">
        <v>653</v>
      </c>
      <c r="C464" s="599"/>
      <c r="D464" s="578">
        <v>1</v>
      </c>
      <c r="E464" s="579" t="s">
        <v>8</v>
      </c>
      <c r="F464" s="569">
        <v>2</v>
      </c>
      <c r="G464" s="600">
        <v>1.8</v>
      </c>
      <c r="H464" s="600">
        <v>2.5</v>
      </c>
      <c r="I464" s="600">
        <v>0.45</v>
      </c>
      <c r="J464" s="597">
        <f t="shared" si="36"/>
        <v>4.05</v>
      </c>
      <c r="K464" s="568"/>
    </row>
    <row r="465" spans="1:11">
      <c r="A465" s="568"/>
      <c r="B465" s="593" t="s">
        <v>1341</v>
      </c>
      <c r="C465" s="606"/>
      <c r="D465" s="578">
        <v>1</v>
      </c>
      <c r="E465" s="579" t="s">
        <v>8</v>
      </c>
      <c r="F465" s="569">
        <v>1</v>
      </c>
      <c r="G465" s="600">
        <v>10.11</v>
      </c>
      <c r="H465" s="600">
        <v>4</v>
      </c>
      <c r="I465" s="600">
        <v>1</v>
      </c>
      <c r="J465" s="597">
        <f t="shared" si="35"/>
        <v>40.44</v>
      </c>
      <c r="K465" s="592"/>
    </row>
    <row r="466" spans="1:11">
      <c r="A466" s="568"/>
      <c r="B466" s="593" t="s">
        <v>1342</v>
      </c>
      <c r="C466" s="606"/>
      <c r="D466" s="578">
        <v>1</v>
      </c>
      <c r="E466" s="579" t="s">
        <v>8</v>
      </c>
      <c r="F466" s="569">
        <v>1</v>
      </c>
      <c r="G466" s="600">
        <v>8.9</v>
      </c>
      <c r="H466" s="600">
        <v>4.5999999999999996</v>
      </c>
      <c r="I466" s="600">
        <v>0.3</v>
      </c>
      <c r="J466" s="597">
        <f t="shared" si="35"/>
        <v>12.281999999999998</v>
      </c>
      <c r="K466" s="592"/>
    </row>
    <row r="467" spans="1:11">
      <c r="A467" s="568"/>
      <c r="B467" s="593" t="s">
        <v>1343</v>
      </c>
      <c r="C467" s="606"/>
      <c r="D467" s="578">
        <v>1</v>
      </c>
      <c r="E467" s="579" t="s">
        <v>8</v>
      </c>
      <c r="F467" s="569">
        <v>1</v>
      </c>
      <c r="G467" s="600">
        <v>6.7</v>
      </c>
      <c r="H467" s="600">
        <v>2.54</v>
      </c>
      <c r="I467" s="600">
        <v>0.6</v>
      </c>
      <c r="J467" s="597">
        <f t="shared" si="35"/>
        <v>10.210800000000001</v>
      </c>
      <c r="K467" s="592"/>
    </row>
    <row r="468" spans="1:11">
      <c r="A468" s="568"/>
      <c r="B468" s="593" t="s">
        <v>1369</v>
      </c>
      <c r="C468" s="599"/>
      <c r="D468" s="578">
        <v>1</v>
      </c>
      <c r="E468" s="579" t="s">
        <v>8</v>
      </c>
      <c r="F468" s="569">
        <v>1</v>
      </c>
      <c r="G468" s="600">
        <v>10.3</v>
      </c>
      <c r="H468" s="600">
        <v>3.5</v>
      </c>
      <c r="I468" s="600">
        <v>0.4</v>
      </c>
      <c r="J468" s="597">
        <f t="shared" si="35"/>
        <v>14.420000000000002</v>
      </c>
      <c r="K468" s="592"/>
    </row>
    <row r="469" spans="1:11">
      <c r="A469" s="568"/>
      <c r="B469" s="593"/>
      <c r="C469" s="589"/>
      <c r="G469" s="590"/>
      <c r="H469" s="591"/>
      <c r="I469" s="591"/>
      <c r="J469" s="605">
        <f>SUM(J435:J468)</f>
        <v>349.62122275000002</v>
      </c>
      <c r="K469" s="601"/>
    </row>
    <row r="470" spans="1:11">
      <c r="A470" s="568"/>
      <c r="B470" s="593"/>
      <c r="C470" s="589"/>
      <c r="G470" s="590"/>
      <c r="H470" s="591"/>
      <c r="I470" s="591"/>
      <c r="J470" s="605">
        <f>ROUNDUP(J469,0)</f>
        <v>350</v>
      </c>
      <c r="K470" s="592" t="s">
        <v>52</v>
      </c>
    </row>
    <row r="471" spans="1:11">
      <c r="A471" s="568"/>
      <c r="B471" s="584" t="s">
        <v>482</v>
      </c>
      <c r="C471" s="589"/>
      <c r="G471" s="590"/>
      <c r="H471" s="591"/>
      <c r="I471" s="591"/>
      <c r="J471" s="591"/>
      <c r="K471" s="592"/>
    </row>
    <row r="472" spans="1:11">
      <c r="A472" s="568"/>
      <c r="B472" s="584" t="s">
        <v>50</v>
      </c>
      <c r="C472" s="589"/>
      <c r="G472" s="590"/>
      <c r="H472" s="591"/>
      <c r="I472" s="591"/>
      <c r="J472" s="591"/>
      <c r="K472" s="592"/>
    </row>
    <row r="473" spans="1:11">
      <c r="A473" s="568"/>
      <c r="B473" s="601" t="s">
        <v>571</v>
      </c>
      <c r="C473" s="593" t="s">
        <v>1022</v>
      </c>
      <c r="D473" s="578">
        <v>1</v>
      </c>
      <c r="E473" s="579" t="s">
        <v>8</v>
      </c>
      <c r="F473" s="569">
        <v>1</v>
      </c>
      <c r="G473" s="590">
        <v>27.8</v>
      </c>
      <c r="H473" s="591">
        <v>0.2</v>
      </c>
      <c r="I473" s="591">
        <v>0.45</v>
      </c>
      <c r="J473" s="597">
        <f t="shared" ref="J473:J540" si="37">PRODUCT(D473:I473)</f>
        <v>2.5020000000000002</v>
      </c>
      <c r="K473" s="592"/>
    </row>
    <row r="474" spans="1:11">
      <c r="A474" s="568"/>
      <c r="B474" s="601" t="s">
        <v>571</v>
      </c>
      <c r="C474" s="593" t="s">
        <v>1022</v>
      </c>
      <c r="D474" s="578">
        <v>1</v>
      </c>
      <c r="E474" s="579" t="s">
        <v>8</v>
      </c>
      <c r="F474" s="569">
        <v>1</v>
      </c>
      <c r="G474" s="590">
        <v>5.375</v>
      </c>
      <c r="H474" s="591">
        <v>0.2</v>
      </c>
      <c r="I474" s="591">
        <v>0.6</v>
      </c>
      <c r="J474" s="597">
        <f t="shared" si="37"/>
        <v>0.64499999999999991</v>
      </c>
      <c r="K474" s="592"/>
    </row>
    <row r="475" spans="1:11">
      <c r="A475" s="568"/>
      <c r="B475" s="601" t="s">
        <v>570</v>
      </c>
      <c r="C475" s="593" t="s">
        <v>1023</v>
      </c>
      <c r="D475" s="578">
        <v>1</v>
      </c>
      <c r="E475" s="579" t="s">
        <v>8</v>
      </c>
      <c r="F475" s="569">
        <v>1</v>
      </c>
      <c r="G475" s="590">
        <v>7.5</v>
      </c>
      <c r="H475" s="591">
        <v>0.2</v>
      </c>
      <c r="I475" s="591">
        <v>0.45</v>
      </c>
      <c r="J475" s="597">
        <f t="shared" si="37"/>
        <v>0.67500000000000004</v>
      </c>
      <c r="K475" s="592"/>
    </row>
    <row r="476" spans="1:11">
      <c r="A476" s="568"/>
      <c r="B476" s="601" t="s">
        <v>1024</v>
      </c>
      <c r="C476" s="593" t="s">
        <v>1111</v>
      </c>
      <c r="D476" s="578">
        <v>1</v>
      </c>
      <c r="E476" s="579" t="s">
        <v>8</v>
      </c>
      <c r="F476" s="569">
        <v>1</v>
      </c>
      <c r="G476" s="590">
        <v>8.1999999999999993</v>
      </c>
      <c r="H476" s="591">
        <v>0.2</v>
      </c>
      <c r="I476" s="591">
        <v>0.45</v>
      </c>
      <c r="J476" s="597">
        <f t="shared" si="37"/>
        <v>0.73799999999999999</v>
      </c>
      <c r="K476" s="592"/>
    </row>
    <row r="477" spans="1:11">
      <c r="A477" s="568"/>
      <c r="B477" s="601" t="s">
        <v>1026</v>
      </c>
      <c r="C477" s="593" t="s">
        <v>1022</v>
      </c>
      <c r="D477" s="578">
        <v>1</v>
      </c>
      <c r="E477" s="579" t="s">
        <v>8</v>
      </c>
      <c r="F477" s="569">
        <v>1</v>
      </c>
      <c r="G477" s="590">
        <v>1.425</v>
      </c>
      <c r="H477" s="591">
        <v>0.2</v>
      </c>
      <c r="I477" s="591">
        <v>0.45</v>
      </c>
      <c r="J477" s="597">
        <f t="shared" si="37"/>
        <v>0.12825000000000003</v>
      </c>
      <c r="K477" s="592"/>
    </row>
    <row r="478" spans="1:11">
      <c r="A478" s="568"/>
      <c r="B478" s="601" t="s">
        <v>1027</v>
      </c>
      <c r="C478" s="593" t="s">
        <v>1028</v>
      </c>
      <c r="D478" s="578">
        <v>1</v>
      </c>
      <c r="E478" s="579" t="s">
        <v>8</v>
      </c>
      <c r="F478" s="569">
        <v>1</v>
      </c>
      <c r="G478" s="590">
        <v>5.0750000000000002</v>
      </c>
      <c r="H478" s="591">
        <v>0.2</v>
      </c>
      <c r="I478" s="591">
        <v>0.45</v>
      </c>
      <c r="J478" s="597">
        <f t="shared" si="37"/>
        <v>0.45675000000000004</v>
      </c>
      <c r="K478" s="592"/>
    </row>
    <row r="479" spans="1:11">
      <c r="A479" s="568"/>
      <c r="B479" s="601" t="s">
        <v>1029</v>
      </c>
      <c r="C479" s="593" t="s">
        <v>1030</v>
      </c>
      <c r="D479" s="578">
        <v>1</v>
      </c>
      <c r="E479" s="579" t="s">
        <v>8</v>
      </c>
      <c r="F479" s="569">
        <v>1</v>
      </c>
      <c r="G479" s="590">
        <v>5.0750000000000002</v>
      </c>
      <c r="H479" s="591">
        <v>0.2</v>
      </c>
      <c r="I479" s="591">
        <v>0.6</v>
      </c>
      <c r="J479" s="597">
        <f t="shared" si="37"/>
        <v>0.6090000000000001</v>
      </c>
      <c r="K479" s="592"/>
    </row>
    <row r="480" spans="1:11">
      <c r="A480" s="568"/>
      <c r="B480" s="601" t="s">
        <v>1031</v>
      </c>
      <c r="C480" s="593" t="s">
        <v>1030</v>
      </c>
      <c r="D480" s="578">
        <v>1</v>
      </c>
      <c r="E480" s="579" t="s">
        <v>8</v>
      </c>
      <c r="F480" s="569">
        <v>1</v>
      </c>
      <c r="G480" s="590">
        <v>5.8</v>
      </c>
      <c r="H480" s="591">
        <v>0.2</v>
      </c>
      <c r="I480" s="591">
        <v>0.45</v>
      </c>
      <c r="J480" s="597">
        <f t="shared" si="37"/>
        <v>0.52200000000000002</v>
      </c>
      <c r="K480" s="592"/>
    </row>
    <row r="481" spans="1:11">
      <c r="A481" s="568"/>
      <c r="B481" s="601" t="s">
        <v>1032</v>
      </c>
      <c r="C481" s="593" t="s">
        <v>575</v>
      </c>
      <c r="D481" s="578">
        <v>1</v>
      </c>
      <c r="E481" s="579" t="s">
        <v>8</v>
      </c>
      <c r="F481" s="569">
        <v>1</v>
      </c>
      <c r="G481" s="590">
        <v>21.9</v>
      </c>
      <c r="H481" s="591">
        <v>0.2</v>
      </c>
      <c r="I481" s="591">
        <v>0.45</v>
      </c>
      <c r="J481" s="597">
        <f t="shared" si="37"/>
        <v>1.9710000000000001</v>
      </c>
      <c r="K481" s="592"/>
    </row>
    <row r="482" spans="1:11">
      <c r="A482" s="568"/>
      <c r="B482" s="601" t="s">
        <v>1033</v>
      </c>
      <c r="C482" s="593" t="s">
        <v>577</v>
      </c>
      <c r="D482" s="578">
        <v>1</v>
      </c>
      <c r="E482" s="579" t="s">
        <v>8</v>
      </c>
      <c r="F482" s="569">
        <v>1</v>
      </c>
      <c r="G482" s="590">
        <v>2.9</v>
      </c>
      <c r="H482" s="591">
        <v>0.2</v>
      </c>
      <c r="I482" s="591">
        <v>0.45</v>
      </c>
      <c r="J482" s="597">
        <f t="shared" si="37"/>
        <v>0.26100000000000001</v>
      </c>
      <c r="K482" s="592"/>
    </row>
    <row r="483" spans="1:11">
      <c r="A483" s="568"/>
      <c r="B483" s="601" t="s">
        <v>1034</v>
      </c>
      <c r="C483" s="593" t="s">
        <v>573</v>
      </c>
      <c r="D483" s="578">
        <v>1</v>
      </c>
      <c r="E483" s="579" t="s">
        <v>8</v>
      </c>
      <c r="F483" s="569">
        <v>1</v>
      </c>
      <c r="G483" s="590">
        <v>21.774999999999999</v>
      </c>
      <c r="H483" s="591">
        <v>0.2</v>
      </c>
      <c r="I483" s="591">
        <v>0.45</v>
      </c>
      <c r="J483" s="597">
        <f t="shared" si="37"/>
        <v>1.9597499999999999</v>
      </c>
      <c r="K483" s="592"/>
    </row>
    <row r="484" spans="1:11">
      <c r="A484" s="568"/>
      <c r="B484" s="601" t="s">
        <v>1035</v>
      </c>
      <c r="C484" s="593" t="s">
        <v>574</v>
      </c>
      <c r="D484" s="578">
        <v>1</v>
      </c>
      <c r="E484" s="579" t="s">
        <v>8</v>
      </c>
      <c r="F484" s="569">
        <v>1</v>
      </c>
      <c r="G484" s="590">
        <v>6.4</v>
      </c>
      <c r="H484" s="591">
        <v>0.2</v>
      </c>
      <c r="I484" s="591">
        <v>0.6</v>
      </c>
      <c r="J484" s="597">
        <f t="shared" si="37"/>
        <v>0.76800000000000013</v>
      </c>
      <c r="K484" s="592"/>
    </row>
    <row r="485" spans="1:11">
      <c r="A485" s="568"/>
      <c r="B485" s="601" t="s">
        <v>1036</v>
      </c>
      <c r="C485" s="593" t="s">
        <v>572</v>
      </c>
      <c r="D485" s="578">
        <v>1</v>
      </c>
      <c r="E485" s="579" t="s">
        <v>8</v>
      </c>
      <c r="F485" s="569">
        <v>1</v>
      </c>
      <c r="G485" s="590">
        <v>6</v>
      </c>
      <c r="H485" s="591">
        <v>0.2</v>
      </c>
      <c r="I485" s="591">
        <v>0.45</v>
      </c>
      <c r="J485" s="597">
        <f t="shared" si="37"/>
        <v>0.54000000000000015</v>
      </c>
      <c r="K485" s="592"/>
    </row>
    <row r="486" spans="1:11">
      <c r="A486" s="568"/>
      <c r="B486" s="601" t="s">
        <v>1037</v>
      </c>
      <c r="C486" s="593" t="s">
        <v>1038</v>
      </c>
      <c r="D486" s="578">
        <v>1</v>
      </c>
      <c r="E486" s="579" t="s">
        <v>8</v>
      </c>
      <c r="F486" s="569">
        <v>1</v>
      </c>
      <c r="G486" s="590">
        <v>2.5</v>
      </c>
      <c r="H486" s="591">
        <v>0.2</v>
      </c>
      <c r="I486" s="591">
        <v>0.45</v>
      </c>
      <c r="J486" s="597">
        <f t="shared" si="37"/>
        <v>0.22500000000000001</v>
      </c>
      <c r="K486" s="592"/>
    </row>
    <row r="487" spans="1:11">
      <c r="A487" s="568"/>
      <c r="B487" s="601" t="s">
        <v>1039</v>
      </c>
      <c r="C487" s="593" t="s">
        <v>1040</v>
      </c>
      <c r="D487" s="578">
        <v>1</v>
      </c>
      <c r="E487" s="579" t="s">
        <v>8</v>
      </c>
      <c r="F487" s="569">
        <v>2</v>
      </c>
      <c r="G487" s="590">
        <v>1.1000000000000001</v>
      </c>
      <c r="H487" s="591">
        <v>0.2</v>
      </c>
      <c r="I487" s="591">
        <v>0.45</v>
      </c>
      <c r="J487" s="597">
        <f t="shared" si="37"/>
        <v>0.19800000000000004</v>
      </c>
      <c r="K487" s="592"/>
    </row>
    <row r="488" spans="1:11">
      <c r="A488" s="568"/>
      <c r="B488" s="601" t="s">
        <v>1041</v>
      </c>
      <c r="C488" s="593" t="s">
        <v>547</v>
      </c>
      <c r="D488" s="578">
        <v>1</v>
      </c>
      <c r="E488" s="579" t="s">
        <v>8</v>
      </c>
      <c r="F488" s="569">
        <v>1</v>
      </c>
      <c r="G488" s="590">
        <v>7.9</v>
      </c>
      <c r="H488" s="591">
        <v>0.2</v>
      </c>
      <c r="I488" s="591">
        <v>0.45</v>
      </c>
      <c r="J488" s="597">
        <f t="shared" si="37"/>
        <v>0.71100000000000008</v>
      </c>
      <c r="K488" s="592"/>
    </row>
    <row r="489" spans="1:11">
      <c r="A489" s="568"/>
      <c r="B489" s="601" t="s">
        <v>1042</v>
      </c>
      <c r="C489" s="593" t="s">
        <v>547</v>
      </c>
      <c r="D489" s="578">
        <v>1</v>
      </c>
      <c r="E489" s="579" t="s">
        <v>8</v>
      </c>
      <c r="F489" s="569">
        <v>1</v>
      </c>
      <c r="G489" s="590">
        <v>3.7</v>
      </c>
      <c r="H489" s="591">
        <v>0.2</v>
      </c>
      <c r="I489" s="591">
        <v>0.45</v>
      </c>
      <c r="J489" s="597">
        <f t="shared" si="37"/>
        <v>0.33300000000000007</v>
      </c>
      <c r="K489" s="592"/>
    </row>
    <row r="490" spans="1:11">
      <c r="A490" s="568"/>
      <c r="B490" s="601" t="s">
        <v>1043</v>
      </c>
      <c r="C490" s="593" t="s">
        <v>491</v>
      </c>
      <c r="D490" s="578">
        <v>1</v>
      </c>
      <c r="E490" s="579" t="s">
        <v>8</v>
      </c>
      <c r="F490" s="569">
        <v>1</v>
      </c>
      <c r="G490" s="590">
        <v>1.956</v>
      </c>
      <c r="H490" s="591">
        <v>0.2</v>
      </c>
      <c r="I490" s="591">
        <v>0.45</v>
      </c>
      <c r="J490" s="597">
        <f t="shared" si="37"/>
        <v>0.17604</v>
      </c>
      <c r="K490" s="592"/>
    </row>
    <row r="491" spans="1:11">
      <c r="A491" s="568"/>
      <c r="B491" s="601" t="s">
        <v>1043</v>
      </c>
      <c r="C491" s="593" t="s">
        <v>491</v>
      </c>
      <c r="D491" s="578">
        <v>1</v>
      </c>
      <c r="E491" s="579" t="s">
        <v>8</v>
      </c>
      <c r="F491" s="569">
        <v>1</v>
      </c>
      <c r="G491" s="590">
        <v>6.6</v>
      </c>
      <c r="H491" s="591">
        <v>0.2</v>
      </c>
      <c r="I491" s="591">
        <v>0.6</v>
      </c>
      <c r="J491" s="597">
        <f t="shared" si="37"/>
        <v>0.79200000000000004</v>
      </c>
      <c r="K491" s="592"/>
    </row>
    <row r="492" spans="1:11">
      <c r="A492" s="568"/>
      <c r="B492" s="601" t="s">
        <v>1037</v>
      </c>
      <c r="C492" s="593" t="s">
        <v>491</v>
      </c>
      <c r="D492" s="578">
        <v>1</v>
      </c>
      <c r="E492" s="579" t="s">
        <v>8</v>
      </c>
      <c r="F492" s="569">
        <v>1</v>
      </c>
      <c r="G492" s="590">
        <v>2.5</v>
      </c>
      <c r="H492" s="591">
        <v>0.2</v>
      </c>
      <c r="I492" s="591">
        <v>0.6</v>
      </c>
      <c r="J492" s="597">
        <f t="shared" si="37"/>
        <v>0.3</v>
      </c>
      <c r="K492" s="592"/>
    </row>
    <row r="493" spans="1:11">
      <c r="A493" s="568"/>
      <c r="B493" s="601" t="s">
        <v>1036</v>
      </c>
      <c r="C493" s="593" t="s">
        <v>550</v>
      </c>
      <c r="D493" s="578">
        <v>1</v>
      </c>
      <c r="E493" s="579" t="s">
        <v>8</v>
      </c>
      <c r="F493" s="569">
        <v>1</v>
      </c>
      <c r="G493" s="590">
        <v>6.2</v>
      </c>
      <c r="H493" s="591">
        <v>0.2</v>
      </c>
      <c r="I493" s="591">
        <v>0.45</v>
      </c>
      <c r="J493" s="597">
        <f t="shared" si="37"/>
        <v>0.55800000000000016</v>
      </c>
      <c r="K493" s="592"/>
    </row>
    <row r="494" spans="1:11">
      <c r="A494" s="568"/>
      <c r="B494" s="601" t="s">
        <v>1044</v>
      </c>
      <c r="C494" s="593" t="s">
        <v>490</v>
      </c>
      <c r="D494" s="578">
        <v>1</v>
      </c>
      <c r="E494" s="579" t="s">
        <v>8</v>
      </c>
      <c r="F494" s="569">
        <v>1</v>
      </c>
      <c r="G494" s="590">
        <v>12.975</v>
      </c>
      <c r="H494" s="591">
        <v>0.2</v>
      </c>
      <c r="I494" s="591">
        <v>0.45</v>
      </c>
      <c r="J494" s="597">
        <f t="shared" si="37"/>
        <v>1.1677500000000001</v>
      </c>
      <c r="K494" s="592"/>
    </row>
    <row r="495" spans="1:11">
      <c r="A495" s="568"/>
      <c r="B495" s="601" t="s">
        <v>1045</v>
      </c>
      <c r="C495" s="593" t="s">
        <v>548</v>
      </c>
      <c r="D495" s="578">
        <v>1</v>
      </c>
      <c r="E495" s="579" t="s">
        <v>8</v>
      </c>
      <c r="F495" s="569">
        <v>1</v>
      </c>
      <c r="G495" s="590">
        <v>1.9</v>
      </c>
      <c r="H495" s="591">
        <v>0.2</v>
      </c>
      <c r="I495" s="591">
        <v>0.6</v>
      </c>
      <c r="J495" s="597">
        <f t="shared" si="37"/>
        <v>0.22799999999999998</v>
      </c>
      <c r="K495" s="592"/>
    </row>
    <row r="496" spans="1:11">
      <c r="A496" s="568"/>
      <c r="B496" s="601" t="s">
        <v>1045</v>
      </c>
      <c r="C496" s="593" t="s">
        <v>548</v>
      </c>
      <c r="D496" s="578">
        <v>1</v>
      </c>
      <c r="E496" s="579" t="s">
        <v>8</v>
      </c>
      <c r="F496" s="569">
        <v>1</v>
      </c>
      <c r="G496" s="590">
        <v>6.8</v>
      </c>
      <c r="H496" s="591">
        <v>0.2</v>
      </c>
      <c r="I496" s="591">
        <v>0.6</v>
      </c>
      <c r="J496" s="597">
        <f t="shared" si="37"/>
        <v>0.81600000000000006</v>
      </c>
      <c r="K496" s="592"/>
    </row>
    <row r="497" spans="1:11">
      <c r="A497" s="568"/>
      <c r="B497" s="601" t="s">
        <v>1046</v>
      </c>
      <c r="C497" s="593" t="s">
        <v>489</v>
      </c>
      <c r="D497" s="578">
        <v>1</v>
      </c>
      <c r="E497" s="579" t="s">
        <v>8</v>
      </c>
      <c r="F497" s="569">
        <v>1</v>
      </c>
      <c r="G497" s="590">
        <v>1.9</v>
      </c>
      <c r="H497" s="591">
        <v>0.2</v>
      </c>
      <c r="I497" s="591">
        <v>0.45</v>
      </c>
      <c r="J497" s="597">
        <f t="shared" si="37"/>
        <v>0.17100000000000001</v>
      </c>
      <c r="K497" s="592"/>
    </row>
    <row r="498" spans="1:11">
      <c r="A498" s="568"/>
      <c r="B498" s="601" t="s">
        <v>1047</v>
      </c>
      <c r="C498" s="593" t="s">
        <v>489</v>
      </c>
      <c r="D498" s="578">
        <v>1</v>
      </c>
      <c r="E498" s="579" t="s">
        <v>8</v>
      </c>
      <c r="F498" s="569">
        <v>1</v>
      </c>
      <c r="G498" s="590">
        <v>16.675000000000001</v>
      </c>
      <c r="H498" s="591">
        <v>0.2</v>
      </c>
      <c r="I498" s="591">
        <v>0.45</v>
      </c>
      <c r="J498" s="597">
        <f t="shared" si="37"/>
        <v>1.5007500000000003</v>
      </c>
      <c r="K498" s="592"/>
    </row>
    <row r="499" spans="1:11">
      <c r="A499" s="568"/>
      <c r="B499" s="601" t="s">
        <v>1048</v>
      </c>
      <c r="C499" s="593" t="s">
        <v>489</v>
      </c>
      <c r="D499" s="578">
        <v>1</v>
      </c>
      <c r="E499" s="579" t="s">
        <v>8</v>
      </c>
      <c r="F499" s="569">
        <v>1</v>
      </c>
      <c r="G499" s="590">
        <v>1.9</v>
      </c>
      <c r="H499" s="591">
        <v>0.2</v>
      </c>
      <c r="I499" s="591">
        <v>0.45</v>
      </c>
      <c r="J499" s="597">
        <f t="shared" si="37"/>
        <v>0.17100000000000001</v>
      </c>
      <c r="K499" s="592"/>
    </row>
    <row r="500" spans="1:11">
      <c r="A500" s="568"/>
      <c r="B500" s="601" t="s">
        <v>1049</v>
      </c>
      <c r="C500" s="577" t="s">
        <v>583</v>
      </c>
      <c r="D500" s="578">
        <v>1</v>
      </c>
      <c r="E500" s="579" t="s">
        <v>8</v>
      </c>
      <c r="F500" s="569">
        <v>1</v>
      </c>
      <c r="G500" s="590">
        <v>27.8</v>
      </c>
      <c r="H500" s="591">
        <v>0.2</v>
      </c>
      <c r="I500" s="591">
        <v>0.45</v>
      </c>
      <c r="J500" s="597">
        <f t="shared" si="37"/>
        <v>2.5020000000000002</v>
      </c>
      <c r="K500" s="592"/>
    </row>
    <row r="501" spans="1:11">
      <c r="A501" s="568"/>
      <c r="B501" s="601" t="s">
        <v>1049</v>
      </c>
      <c r="C501" s="577" t="s">
        <v>583</v>
      </c>
      <c r="D501" s="578">
        <v>1</v>
      </c>
      <c r="E501" s="579" t="s">
        <v>8</v>
      </c>
      <c r="F501" s="569">
        <v>1</v>
      </c>
      <c r="G501" s="590">
        <v>5.375</v>
      </c>
      <c r="H501" s="591">
        <v>0.2</v>
      </c>
      <c r="I501" s="591">
        <v>0.6</v>
      </c>
      <c r="J501" s="597">
        <f t="shared" si="37"/>
        <v>0.64499999999999991</v>
      </c>
      <c r="K501" s="592"/>
    </row>
    <row r="502" spans="1:11">
      <c r="A502" s="568"/>
      <c r="B502" s="584" t="s">
        <v>488</v>
      </c>
      <c r="C502" s="589"/>
      <c r="G502" s="590"/>
      <c r="H502" s="591"/>
      <c r="I502" s="591"/>
      <c r="J502" s="597"/>
      <c r="K502" s="592"/>
    </row>
    <row r="503" spans="1:11">
      <c r="A503" s="568"/>
      <c r="B503" s="601" t="s">
        <v>1050</v>
      </c>
      <c r="C503" s="593" t="s">
        <v>549</v>
      </c>
      <c r="D503" s="578">
        <v>1</v>
      </c>
      <c r="E503" s="579" t="s">
        <v>8</v>
      </c>
      <c r="F503" s="569">
        <v>1</v>
      </c>
      <c r="G503" s="590">
        <v>20.2</v>
      </c>
      <c r="H503" s="591">
        <v>0.2</v>
      </c>
      <c r="I503" s="591">
        <v>0.45</v>
      </c>
      <c r="J503" s="597">
        <f t="shared" si="37"/>
        <v>1.8180000000000001</v>
      </c>
      <c r="K503" s="592"/>
    </row>
    <row r="504" spans="1:11">
      <c r="A504" s="568"/>
      <c r="B504" s="601" t="s">
        <v>1051</v>
      </c>
      <c r="C504" s="593" t="s">
        <v>483</v>
      </c>
      <c r="D504" s="578">
        <v>1</v>
      </c>
      <c r="E504" s="579" t="s">
        <v>8</v>
      </c>
      <c r="F504" s="569">
        <v>1</v>
      </c>
      <c r="G504" s="590">
        <v>3.7</v>
      </c>
      <c r="H504" s="591">
        <v>0.2</v>
      </c>
      <c r="I504" s="591">
        <v>0.6</v>
      </c>
      <c r="J504" s="597">
        <f t="shared" si="37"/>
        <v>0.44400000000000006</v>
      </c>
      <c r="K504" s="592"/>
    </row>
    <row r="505" spans="1:11">
      <c r="A505" s="568"/>
      <c r="B505" s="601" t="s">
        <v>1052</v>
      </c>
      <c r="C505" s="593" t="s">
        <v>1053</v>
      </c>
      <c r="D505" s="578">
        <v>1</v>
      </c>
      <c r="E505" s="579" t="s">
        <v>8</v>
      </c>
      <c r="F505" s="569">
        <v>1</v>
      </c>
      <c r="G505" s="590">
        <v>3.3</v>
      </c>
      <c r="H505" s="591">
        <v>0.2</v>
      </c>
      <c r="I505" s="591">
        <v>0.45</v>
      </c>
      <c r="J505" s="597">
        <f t="shared" si="37"/>
        <v>0.29700000000000004</v>
      </c>
      <c r="K505" s="592"/>
    </row>
    <row r="506" spans="1:11">
      <c r="A506" s="568"/>
      <c r="B506" s="601" t="s">
        <v>1054</v>
      </c>
      <c r="C506" s="593" t="s">
        <v>1055</v>
      </c>
      <c r="D506" s="578">
        <v>1</v>
      </c>
      <c r="E506" s="579" t="s">
        <v>8</v>
      </c>
      <c r="F506" s="569">
        <v>1</v>
      </c>
      <c r="G506" s="590">
        <v>3.5</v>
      </c>
      <c r="H506" s="591">
        <v>0.2</v>
      </c>
      <c r="I506" s="591">
        <v>0.45</v>
      </c>
      <c r="J506" s="597">
        <f t="shared" si="37"/>
        <v>0.31500000000000006</v>
      </c>
      <c r="K506" s="592"/>
    </row>
    <row r="507" spans="1:11">
      <c r="A507" s="568"/>
      <c r="B507" s="601" t="s">
        <v>1056</v>
      </c>
      <c r="C507" s="593" t="s">
        <v>1057</v>
      </c>
      <c r="D507" s="578">
        <v>1</v>
      </c>
      <c r="E507" s="579" t="s">
        <v>8</v>
      </c>
      <c r="F507" s="569">
        <v>1</v>
      </c>
      <c r="G507" s="590">
        <v>3.5</v>
      </c>
      <c r="H507" s="591">
        <v>0.2</v>
      </c>
      <c r="I507" s="591">
        <v>0.45</v>
      </c>
      <c r="J507" s="597">
        <f t="shared" si="37"/>
        <v>0.31500000000000006</v>
      </c>
      <c r="K507" s="592"/>
    </row>
    <row r="508" spans="1:11">
      <c r="A508" s="568"/>
      <c r="B508" s="601" t="s">
        <v>1058</v>
      </c>
      <c r="C508" s="593" t="s">
        <v>1059</v>
      </c>
      <c r="D508" s="578">
        <v>1</v>
      </c>
      <c r="E508" s="579" t="s">
        <v>8</v>
      </c>
      <c r="F508" s="569">
        <v>1</v>
      </c>
      <c r="G508" s="590">
        <v>8.3000000000000007</v>
      </c>
      <c r="H508" s="591">
        <v>0.2</v>
      </c>
      <c r="I508" s="591">
        <v>0.45</v>
      </c>
      <c r="J508" s="597">
        <f t="shared" si="37"/>
        <v>0.74700000000000011</v>
      </c>
      <c r="K508" s="592"/>
    </row>
    <row r="509" spans="1:11">
      <c r="A509" s="568"/>
      <c r="B509" s="601" t="s">
        <v>1052</v>
      </c>
      <c r="C509" s="593" t="s">
        <v>1060</v>
      </c>
      <c r="D509" s="578">
        <v>1</v>
      </c>
      <c r="E509" s="579" t="s">
        <v>8</v>
      </c>
      <c r="F509" s="569">
        <v>1</v>
      </c>
      <c r="G509" s="590">
        <v>16.7</v>
      </c>
      <c r="H509" s="591">
        <v>0.2</v>
      </c>
      <c r="I509" s="591">
        <v>0.45</v>
      </c>
      <c r="J509" s="597">
        <f t="shared" si="37"/>
        <v>1.5029999999999999</v>
      </c>
      <c r="K509" s="592"/>
    </row>
    <row r="510" spans="1:11">
      <c r="A510" s="568"/>
      <c r="B510" s="601" t="s">
        <v>1061</v>
      </c>
      <c r="C510" s="593" t="s">
        <v>485</v>
      </c>
      <c r="D510" s="578">
        <v>1</v>
      </c>
      <c r="E510" s="579" t="s">
        <v>8</v>
      </c>
      <c r="F510" s="569">
        <v>1</v>
      </c>
      <c r="G510" s="590">
        <v>6.8</v>
      </c>
      <c r="H510" s="591">
        <v>0.2</v>
      </c>
      <c r="I510" s="591">
        <v>0.45</v>
      </c>
      <c r="J510" s="597">
        <f t="shared" si="37"/>
        <v>0.6120000000000001</v>
      </c>
      <c r="K510" s="592"/>
    </row>
    <row r="511" spans="1:11">
      <c r="A511" s="568"/>
      <c r="B511" s="601" t="s">
        <v>1061</v>
      </c>
      <c r="C511" s="593" t="s">
        <v>485</v>
      </c>
      <c r="D511" s="578">
        <v>1</v>
      </c>
      <c r="E511" s="579" t="s">
        <v>8</v>
      </c>
      <c r="F511" s="569">
        <v>1</v>
      </c>
      <c r="G511" s="590">
        <v>7.351</v>
      </c>
      <c r="H511" s="591">
        <v>0.23</v>
      </c>
      <c r="I511" s="591">
        <v>0.45</v>
      </c>
      <c r="J511" s="597">
        <f t="shared" si="37"/>
        <v>0.76082850000000002</v>
      </c>
      <c r="K511" s="592"/>
    </row>
    <row r="512" spans="1:11">
      <c r="A512" s="568"/>
      <c r="B512" s="601" t="s">
        <v>1061</v>
      </c>
      <c r="C512" s="593" t="s">
        <v>485</v>
      </c>
      <c r="D512" s="578">
        <v>1</v>
      </c>
      <c r="E512" s="579" t="s">
        <v>8</v>
      </c>
      <c r="F512" s="569">
        <v>1</v>
      </c>
      <c r="G512" s="590">
        <v>6.5990000000000002</v>
      </c>
      <c r="H512" s="591">
        <v>0.23</v>
      </c>
      <c r="I512" s="591">
        <v>0.45</v>
      </c>
      <c r="J512" s="597">
        <f t="shared" si="37"/>
        <v>0.68299650000000001</v>
      </c>
      <c r="K512" s="592"/>
    </row>
    <row r="513" spans="1:11">
      <c r="A513" s="568"/>
      <c r="B513" s="601" t="s">
        <v>1062</v>
      </c>
      <c r="C513" s="593" t="s">
        <v>487</v>
      </c>
      <c r="D513" s="578">
        <v>1</v>
      </c>
      <c r="E513" s="579" t="s">
        <v>8</v>
      </c>
      <c r="F513" s="569">
        <v>1</v>
      </c>
      <c r="G513" s="590">
        <v>6.5</v>
      </c>
      <c r="H513" s="591">
        <v>0.2</v>
      </c>
      <c r="I513" s="591">
        <v>0.45</v>
      </c>
      <c r="J513" s="597">
        <f t="shared" si="37"/>
        <v>0.58500000000000008</v>
      </c>
      <c r="K513" s="592"/>
    </row>
    <row r="514" spans="1:11">
      <c r="A514" s="568"/>
      <c r="B514" s="601" t="s">
        <v>1063</v>
      </c>
      <c r="C514" s="593" t="s">
        <v>487</v>
      </c>
      <c r="D514" s="578">
        <v>1</v>
      </c>
      <c r="E514" s="579" t="s">
        <v>8</v>
      </c>
      <c r="F514" s="569">
        <v>1</v>
      </c>
      <c r="G514" s="590">
        <v>5.4</v>
      </c>
      <c r="H514" s="591">
        <v>0.2</v>
      </c>
      <c r="I514" s="591">
        <v>0.45</v>
      </c>
      <c r="J514" s="597">
        <f t="shared" si="37"/>
        <v>0.48600000000000004</v>
      </c>
      <c r="K514" s="592"/>
    </row>
    <row r="515" spans="1:11">
      <c r="A515" s="568"/>
      <c r="B515" s="601" t="s">
        <v>571</v>
      </c>
      <c r="C515" s="593" t="s">
        <v>1064</v>
      </c>
      <c r="D515" s="578">
        <v>1</v>
      </c>
      <c r="E515" s="579" t="s">
        <v>8</v>
      </c>
      <c r="F515" s="569">
        <v>3</v>
      </c>
      <c r="G515" s="590">
        <v>1.7</v>
      </c>
      <c r="H515" s="591">
        <v>0.2</v>
      </c>
      <c r="I515" s="591">
        <v>0.45</v>
      </c>
      <c r="J515" s="597">
        <f t="shared" si="37"/>
        <v>0.45900000000000002</v>
      </c>
      <c r="K515" s="592"/>
    </row>
    <row r="516" spans="1:11">
      <c r="A516" s="568"/>
      <c r="B516" s="601" t="s">
        <v>1065</v>
      </c>
      <c r="C516" s="593" t="s">
        <v>1064</v>
      </c>
      <c r="D516" s="578">
        <v>1</v>
      </c>
      <c r="E516" s="579" t="s">
        <v>8</v>
      </c>
      <c r="F516" s="569">
        <v>1</v>
      </c>
      <c r="G516" s="590">
        <v>6.8</v>
      </c>
      <c r="H516" s="591">
        <v>0.2</v>
      </c>
      <c r="I516" s="591">
        <v>0.6</v>
      </c>
      <c r="J516" s="597">
        <f t="shared" si="37"/>
        <v>0.81600000000000006</v>
      </c>
      <c r="K516" s="592"/>
    </row>
    <row r="517" spans="1:11">
      <c r="A517" s="568"/>
      <c r="B517" s="601" t="s">
        <v>1066</v>
      </c>
      <c r="C517" s="593" t="s">
        <v>1067</v>
      </c>
      <c r="D517" s="578">
        <v>1</v>
      </c>
      <c r="E517" s="579" t="s">
        <v>8</v>
      </c>
      <c r="F517" s="569">
        <v>1</v>
      </c>
      <c r="G517" s="590">
        <v>2.6</v>
      </c>
      <c r="H517" s="591">
        <v>0.4</v>
      </c>
      <c r="I517" s="591">
        <v>0.6</v>
      </c>
      <c r="J517" s="597">
        <f t="shared" si="37"/>
        <v>0.624</v>
      </c>
      <c r="K517" s="592"/>
    </row>
    <row r="518" spans="1:11" ht="18" customHeight="1">
      <c r="A518" s="568"/>
      <c r="B518" s="601" t="s">
        <v>1062</v>
      </c>
      <c r="C518" s="593" t="s">
        <v>1068</v>
      </c>
      <c r="D518" s="578">
        <v>1</v>
      </c>
      <c r="E518" s="579" t="s">
        <v>8</v>
      </c>
      <c r="F518" s="569">
        <v>1</v>
      </c>
      <c r="G518" s="590">
        <v>4.4000000000000004</v>
      </c>
      <c r="H518" s="591">
        <v>0.2</v>
      </c>
      <c r="I518" s="591">
        <v>0.45</v>
      </c>
      <c r="J518" s="597">
        <f t="shared" si="37"/>
        <v>0.39600000000000007</v>
      </c>
      <c r="K518" s="568"/>
    </row>
    <row r="519" spans="1:11" ht="18" customHeight="1">
      <c r="A519" s="568"/>
      <c r="B519" s="601" t="s">
        <v>1069</v>
      </c>
      <c r="C519" s="593" t="s">
        <v>1070</v>
      </c>
      <c r="D519" s="578">
        <v>1</v>
      </c>
      <c r="E519" s="579" t="s">
        <v>8</v>
      </c>
      <c r="F519" s="569">
        <v>1</v>
      </c>
      <c r="G519" s="590">
        <v>6.8</v>
      </c>
      <c r="H519" s="591">
        <v>0.2</v>
      </c>
      <c r="I519" s="591">
        <v>0.6</v>
      </c>
      <c r="J519" s="597">
        <f t="shared" si="37"/>
        <v>0.81600000000000006</v>
      </c>
      <c r="K519" s="568"/>
    </row>
    <row r="520" spans="1:11" ht="18" customHeight="1">
      <c r="A520" s="568"/>
      <c r="B520" s="601" t="s">
        <v>1062</v>
      </c>
      <c r="C520" s="593" t="s">
        <v>1068</v>
      </c>
      <c r="D520" s="578">
        <v>1</v>
      </c>
      <c r="E520" s="579" t="s">
        <v>8</v>
      </c>
      <c r="F520" s="569">
        <v>1</v>
      </c>
      <c r="G520" s="590">
        <v>4.4000000000000004</v>
      </c>
      <c r="H520" s="591">
        <v>0.2</v>
      </c>
      <c r="I520" s="591">
        <v>0.45</v>
      </c>
      <c r="J520" s="597">
        <f t="shared" si="37"/>
        <v>0.39600000000000007</v>
      </c>
      <c r="K520" s="568"/>
    </row>
    <row r="521" spans="1:11" ht="18" customHeight="1">
      <c r="A521" s="568"/>
      <c r="B521" s="601" t="s">
        <v>1066</v>
      </c>
      <c r="C521" s="593" t="s">
        <v>1071</v>
      </c>
      <c r="D521" s="578">
        <v>1</v>
      </c>
      <c r="E521" s="579" t="s">
        <v>8</v>
      </c>
      <c r="F521" s="569">
        <v>1</v>
      </c>
      <c r="G521" s="590">
        <v>2.6</v>
      </c>
      <c r="H521" s="591">
        <v>0.2</v>
      </c>
      <c r="I521" s="591">
        <v>0.45</v>
      </c>
      <c r="J521" s="597">
        <f t="shared" si="37"/>
        <v>0.23400000000000001</v>
      </c>
      <c r="K521" s="568"/>
    </row>
    <row r="522" spans="1:11" ht="18" customHeight="1">
      <c r="A522" s="568"/>
      <c r="B522" s="601" t="s">
        <v>1065</v>
      </c>
      <c r="C522" s="593" t="s">
        <v>1072</v>
      </c>
      <c r="D522" s="578">
        <v>1</v>
      </c>
      <c r="E522" s="579" t="s">
        <v>8</v>
      </c>
      <c r="F522" s="569">
        <v>1</v>
      </c>
      <c r="G522" s="590">
        <v>6.7990000000000004</v>
      </c>
      <c r="H522" s="591">
        <v>0.2</v>
      </c>
      <c r="I522" s="591">
        <v>0.45</v>
      </c>
      <c r="J522" s="597">
        <f t="shared" si="37"/>
        <v>0.61191000000000006</v>
      </c>
      <c r="K522" s="568"/>
    </row>
    <row r="523" spans="1:11" ht="18" customHeight="1">
      <c r="A523" s="568"/>
      <c r="B523" s="601" t="s">
        <v>1073</v>
      </c>
      <c r="C523" s="593" t="s">
        <v>1074</v>
      </c>
      <c r="D523" s="578">
        <v>1</v>
      </c>
      <c r="E523" s="579" t="s">
        <v>8</v>
      </c>
      <c r="F523" s="569">
        <v>1</v>
      </c>
      <c r="G523" s="590">
        <v>11.8</v>
      </c>
      <c r="H523" s="591">
        <v>0.2</v>
      </c>
      <c r="I523" s="591">
        <v>0.45</v>
      </c>
      <c r="J523" s="597">
        <f t="shared" si="37"/>
        <v>1.0620000000000003</v>
      </c>
      <c r="K523" s="568"/>
    </row>
    <row r="524" spans="1:11" ht="18" customHeight="1">
      <c r="A524" s="568"/>
      <c r="B524" s="601" t="s">
        <v>1075</v>
      </c>
      <c r="C524" s="593" t="s">
        <v>1076</v>
      </c>
      <c r="D524" s="578">
        <v>1</v>
      </c>
      <c r="E524" s="579" t="s">
        <v>8</v>
      </c>
      <c r="F524" s="569">
        <v>1</v>
      </c>
      <c r="G524" s="590">
        <v>6.7990000000000004</v>
      </c>
      <c r="H524" s="591">
        <v>0.2</v>
      </c>
      <c r="I524" s="591">
        <v>0.45</v>
      </c>
      <c r="J524" s="597">
        <f t="shared" si="37"/>
        <v>0.61191000000000006</v>
      </c>
      <c r="K524" s="568"/>
    </row>
    <row r="525" spans="1:11" ht="18" customHeight="1">
      <c r="A525" s="568"/>
      <c r="B525" s="601" t="s">
        <v>1077</v>
      </c>
      <c r="C525" s="593" t="s">
        <v>1078</v>
      </c>
      <c r="D525" s="578">
        <v>1</v>
      </c>
      <c r="E525" s="579" t="s">
        <v>8</v>
      </c>
      <c r="F525" s="569">
        <v>1</v>
      </c>
      <c r="G525" s="590">
        <v>11.9</v>
      </c>
      <c r="H525" s="591">
        <v>0.2</v>
      </c>
      <c r="I525" s="591">
        <v>0.45</v>
      </c>
      <c r="J525" s="597">
        <f t="shared" si="37"/>
        <v>1.0710000000000002</v>
      </c>
      <c r="K525" s="568"/>
    </row>
    <row r="526" spans="1:11" ht="18" customHeight="1">
      <c r="A526" s="568"/>
      <c r="B526" s="601" t="s">
        <v>1079</v>
      </c>
      <c r="C526" s="593" t="s">
        <v>1078</v>
      </c>
      <c r="D526" s="578">
        <v>1</v>
      </c>
      <c r="E526" s="579" t="s">
        <v>8</v>
      </c>
      <c r="F526" s="569">
        <v>1</v>
      </c>
      <c r="G526" s="590">
        <v>12.201000000000001</v>
      </c>
      <c r="H526" s="591">
        <v>0.2</v>
      </c>
      <c r="I526" s="591">
        <v>0.45</v>
      </c>
      <c r="J526" s="597">
        <f t="shared" si="37"/>
        <v>1.0980900000000002</v>
      </c>
      <c r="K526" s="568"/>
    </row>
    <row r="527" spans="1:11" ht="18" customHeight="1">
      <c r="A527" s="568"/>
      <c r="B527" s="601" t="s">
        <v>1080</v>
      </c>
      <c r="C527" s="593" t="s">
        <v>1081</v>
      </c>
      <c r="D527" s="578">
        <v>1</v>
      </c>
      <c r="E527" s="579" t="s">
        <v>8</v>
      </c>
      <c r="F527" s="569">
        <v>1</v>
      </c>
      <c r="G527" s="590">
        <v>8.2010000000000005</v>
      </c>
      <c r="H527" s="591">
        <v>0.2</v>
      </c>
      <c r="I527" s="591">
        <v>0.6</v>
      </c>
      <c r="J527" s="597">
        <f t="shared" si="37"/>
        <v>0.98411999999999999</v>
      </c>
      <c r="K527" s="568"/>
    </row>
    <row r="528" spans="1:11" ht="18" customHeight="1">
      <c r="A528" s="568"/>
      <c r="B528" s="601" t="s">
        <v>1082</v>
      </c>
      <c r="C528" s="593" t="s">
        <v>1083</v>
      </c>
      <c r="D528" s="578">
        <v>1</v>
      </c>
      <c r="E528" s="579" t="s">
        <v>8</v>
      </c>
      <c r="F528" s="569">
        <v>1</v>
      </c>
      <c r="G528" s="590">
        <v>11.01</v>
      </c>
      <c r="H528" s="591">
        <v>0.2</v>
      </c>
      <c r="I528" s="591">
        <v>0.45</v>
      </c>
      <c r="J528" s="597">
        <f t="shared" si="37"/>
        <v>0.9909</v>
      </c>
      <c r="K528" s="568"/>
    </row>
    <row r="529" spans="1:11" ht="18" customHeight="1">
      <c r="A529" s="568"/>
      <c r="B529" s="601" t="s">
        <v>1084</v>
      </c>
      <c r="C529" s="593" t="s">
        <v>1085</v>
      </c>
      <c r="D529" s="578">
        <v>1</v>
      </c>
      <c r="E529" s="579" t="s">
        <v>8</v>
      </c>
      <c r="F529" s="569">
        <v>1</v>
      </c>
      <c r="G529" s="590">
        <v>4.2</v>
      </c>
      <c r="H529" s="591">
        <v>0.2</v>
      </c>
      <c r="I529" s="591">
        <v>0.45</v>
      </c>
      <c r="J529" s="597">
        <f t="shared" si="37"/>
        <v>0.37800000000000006</v>
      </c>
      <c r="K529" s="568"/>
    </row>
    <row r="530" spans="1:11" ht="18" customHeight="1">
      <c r="A530" s="568"/>
      <c r="B530" s="601" t="s">
        <v>1086</v>
      </c>
      <c r="C530" s="593" t="s">
        <v>1085</v>
      </c>
      <c r="D530" s="578">
        <v>1</v>
      </c>
      <c r="E530" s="579" t="s">
        <v>8</v>
      </c>
      <c r="F530" s="569">
        <v>1</v>
      </c>
      <c r="G530" s="590">
        <v>1.1000000000000001</v>
      </c>
      <c r="H530" s="591">
        <v>0.2</v>
      </c>
      <c r="I530" s="591">
        <v>0.45</v>
      </c>
      <c r="J530" s="597">
        <f t="shared" si="37"/>
        <v>9.9000000000000019E-2</v>
      </c>
      <c r="K530" s="568"/>
    </row>
    <row r="531" spans="1:11" ht="18" customHeight="1">
      <c r="A531" s="568"/>
      <c r="B531" s="601" t="s">
        <v>1087</v>
      </c>
      <c r="C531" s="593" t="s">
        <v>1088</v>
      </c>
      <c r="D531" s="578">
        <v>1</v>
      </c>
      <c r="E531" s="579" t="s">
        <v>8</v>
      </c>
      <c r="F531" s="569">
        <v>1</v>
      </c>
      <c r="G531" s="590">
        <v>3</v>
      </c>
      <c r="H531" s="591">
        <v>0.2</v>
      </c>
      <c r="I531" s="591">
        <v>0.45</v>
      </c>
      <c r="J531" s="597">
        <f t="shared" si="37"/>
        <v>0.27000000000000007</v>
      </c>
      <c r="K531" s="568"/>
    </row>
    <row r="532" spans="1:11" ht="18" customHeight="1">
      <c r="A532" s="568"/>
      <c r="B532" s="601" t="s">
        <v>1089</v>
      </c>
      <c r="C532" s="593" t="s">
        <v>1090</v>
      </c>
      <c r="D532" s="578">
        <v>1</v>
      </c>
      <c r="E532" s="579" t="s">
        <v>8</v>
      </c>
      <c r="F532" s="569">
        <v>1</v>
      </c>
      <c r="G532" s="590">
        <v>12.201000000000001</v>
      </c>
      <c r="H532" s="591">
        <v>0.2</v>
      </c>
      <c r="I532" s="591">
        <v>0.45</v>
      </c>
      <c r="J532" s="597">
        <f t="shared" si="37"/>
        <v>1.0980900000000002</v>
      </c>
      <c r="K532" s="568"/>
    </row>
    <row r="533" spans="1:11" ht="18" customHeight="1">
      <c r="A533" s="568"/>
      <c r="B533" s="601" t="s">
        <v>1091</v>
      </c>
      <c r="C533" s="593" t="s">
        <v>1090</v>
      </c>
      <c r="D533" s="578">
        <v>1</v>
      </c>
      <c r="E533" s="579" t="s">
        <v>8</v>
      </c>
      <c r="F533" s="569">
        <v>1</v>
      </c>
      <c r="G533" s="590">
        <v>8.2010000000000005</v>
      </c>
      <c r="H533" s="591">
        <v>0.2</v>
      </c>
      <c r="I533" s="591">
        <v>0.6</v>
      </c>
      <c r="J533" s="597">
        <f t="shared" si="37"/>
        <v>0.98411999999999999</v>
      </c>
      <c r="K533" s="568"/>
    </row>
    <row r="534" spans="1:11">
      <c r="A534" s="568"/>
      <c r="B534" s="593" t="s">
        <v>1421</v>
      </c>
      <c r="C534" s="599"/>
      <c r="D534" s="578">
        <v>1</v>
      </c>
      <c r="E534" s="579" t="s">
        <v>8</v>
      </c>
      <c r="F534" s="569">
        <v>1</v>
      </c>
      <c r="G534" s="600">
        <v>6.7</v>
      </c>
      <c r="H534" s="600">
        <v>0.45</v>
      </c>
      <c r="I534" s="600">
        <v>0.45</v>
      </c>
      <c r="J534" s="597">
        <f t="shared" si="37"/>
        <v>1.3567500000000001</v>
      </c>
      <c r="K534" s="568"/>
    </row>
    <row r="535" spans="1:11">
      <c r="A535" s="568"/>
      <c r="B535" s="593"/>
      <c r="C535" s="599"/>
      <c r="D535" s="578">
        <v>1</v>
      </c>
      <c r="E535" s="579" t="s">
        <v>8</v>
      </c>
      <c r="F535" s="569">
        <v>1</v>
      </c>
      <c r="G535" s="600">
        <v>1.8</v>
      </c>
      <c r="H535" s="600">
        <v>0.2</v>
      </c>
      <c r="I535" s="600">
        <v>0.45</v>
      </c>
      <c r="J535" s="597">
        <f t="shared" si="37"/>
        <v>0.16200000000000003</v>
      </c>
      <c r="K535" s="568"/>
    </row>
    <row r="536" spans="1:11">
      <c r="A536" s="568"/>
      <c r="B536" s="593"/>
      <c r="C536" s="599"/>
      <c r="D536" s="578">
        <v>1</v>
      </c>
      <c r="E536" s="579" t="s">
        <v>8</v>
      </c>
      <c r="F536" s="569">
        <v>1</v>
      </c>
      <c r="G536" s="600">
        <v>9.5</v>
      </c>
      <c r="H536" s="600">
        <v>0.3</v>
      </c>
      <c r="I536" s="600">
        <v>0.45</v>
      </c>
      <c r="J536" s="597">
        <f t="shared" si="37"/>
        <v>1.2825</v>
      </c>
      <c r="K536" s="568"/>
    </row>
    <row r="537" spans="1:11" ht="18" customHeight="1">
      <c r="A537" s="568"/>
      <c r="B537" s="601" t="s">
        <v>1588</v>
      </c>
      <c r="C537" s="577"/>
      <c r="G537" s="590"/>
      <c r="H537" s="591"/>
      <c r="I537" s="591"/>
      <c r="J537" s="597"/>
      <c r="K537" s="568"/>
    </row>
    <row r="538" spans="1:11">
      <c r="A538" s="568"/>
      <c r="B538" s="593" t="s">
        <v>1112</v>
      </c>
      <c r="C538" s="589"/>
      <c r="D538" s="578">
        <v>-1</v>
      </c>
      <c r="E538" s="579" t="s">
        <v>8</v>
      </c>
      <c r="F538" s="569">
        <v>7</v>
      </c>
      <c r="G538" s="590">
        <v>0.2</v>
      </c>
      <c r="H538" s="591">
        <v>1.2</v>
      </c>
      <c r="I538" s="591">
        <v>0.48499999999999999</v>
      </c>
      <c r="J538" s="597">
        <f t="shared" si="37"/>
        <v>-0.81480000000000008</v>
      </c>
      <c r="K538" s="568" t="s">
        <v>1589</v>
      </c>
    </row>
    <row r="539" spans="1:11">
      <c r="A539" s="568"/>
      <c r="B539" s="593" t="s">
        <v>1113</v>
      </c>
      <c r="C539" s="589"/>
      <c r="D539" s="578">
        <v>-1</v>
      </c>
      <c r="E539" s="579" t="s">
        <v>8</v>
      </c>
      <c r="F539" s="569">
        <v>2</v>
      </c>
      <c r="G539" s="590">
        <v>0.2</v>
      </c>
      <c r="H539" s="591">
        <v>1.2</v>
      </c>
      <c r="I539" s="591">
        <v>0.48499999999999999</v>
      </c>
      <c r="J539" s="597">
        <f t="shared" si="37"/>
        <v>-0.23279999999999998</v>
      </c>
      <c r="K539" s="568" t="s">
        <v>1589</v>
      </c>
    </row>
    <row r="540" spans="1:11">
      <c r="A540" s="568"/>
      <c r="B540" s="593" t="s">
        <v>1114</v>
      </c>
      <c r="C540" s="589"/>
      <c r="D540" s="578">
        <v>-1</v>
      </c>
      <c r="E540" s="579" t="s">
        <v>8</v>
      </c>
      <c r="F540" s="569">
        <v>4</v>
      </c>
      <c r="G540" s="590">
        <v>0.2</v>
      </c>
      <c r="H540" s="591">
        <v>1</v>
      </c>
      <c r="I540" s="591">
        <v>0.48499999999999999</v>
      </c>
      <c r="J540" s="597">
        <f t="shared" si="37"/>
        <v>-0.38800000000000001</v>
      </c>
      <c r="K540" s="568" t="s">
        <v>1589</v>
      </c>
    </row>
    <row r="541" spans="1:11">
      <c r="A541" s="568"/>
      <c r="B541" s="593" t="s">
        <v>1115</v>
      </c>
      <c r="C541" s="589"/>
      <c r="D541" s="578">
        <v>-1</v>
      </c>
      <c r="E541" s="579" t="s">
        <v>8</v>
      </c>
      <c r="F541" s="569">
        <v>2</v>
      </c>
      <c r="G541" s="590">
        <v>0.2</v>
      </c>
      <c r="H541" s="591">
        <v>1</v>
      </c>
      <c r="I541" s="591">
        <v>0.48499999999999999</v>
      </c>
      <c r="J541" s="597">
        <f t="shared" ref="J541:J554" si="38">PRODUCT(D541:I541)</f>
        <v>-0.19400000000000001</v>
      </c>
      <c r="K541" s="568" t="s">
        <v>1589</v>
      </c>
    </row>
    <row r="542" spans="1:11">
      <c r="A542" s="568"/>
      <c r="B542" s="593" t="s">
        <v>1116</v>
      </c>
      <c r="C542" s="589"/>
      <c r="D542" s="578">
        <v>-1</v>
      </c>
      <c r="E542" s="579" t="s">
        <v>8</v>
      </c>
      <c r="F542" s="569">
        <f>4+5</f>
        <v>9</v>
      </c>
      <c r="G542" s="590">
        <v>0.2</v>
      </c>
      <c r="H542" s="591">
        <v>0.9</v>
      </c>
      <c r="I542" s="591">
        <v>0.48499999999999999</v>
      </c>
      <c r="J542" s="597">
        <f t="shared" si="38"/>
        <v>-0.78570000000000007</v>
      </c>
      <c r="K542" s="568" t="s">
        <v>1589</v>
      </c>
    </row>
    <row r="543" spans="1:11">
      <c r="A543" s="568"/>
      <c r="B543" s="593" t="s">
        <v>1117</v>
      </c>
      <c r="C543" s="589"/>
      <c r="D543" s="578">
        <v>-1</v>
      </c>
      <c r="E543" s="579" t="s">
        <v>8</v>
      </c>
      <c r="F543" s="569">
        <v>3</v>
      </c>
      <c r="G543" s="590">
        <v>0.2</v>
      </c>
      <c r="H543" s="591">
        <v>0.9</v>
      </c>
      <c r="I543" s="591">
        <v>0.48499999999999999</v>
      </c>
      <c r="J543" s="597">
        <f t="shared" si="38"/>
        <v>-0.26190000000000008</v>
      </c>
      <c r="K543" s="568" t="s">
        <v>1589</v>
      </c>
    </row>
    <row r="544" spans="1:11">
      <c r="A544" s="568"/>
      <c r="B544" s="593" t="s">
        <v>1118</v>
      </c>
      <c r="C544" s="589"/>
      <c r="D544" s="578">
        <v>-1</v>
      </c>
      <c r="E544" s="579" t="s">
        <v>8</v>
      </c>
      <c r="F544" s="569">
        <f>3+2</f>
        <v>5</v>
      </c>
      <c r="G544" s="590">
        <v>0.2</v>
      </c>
      <c r="H544" s="591">
        <v>0.8</v>
      </c>
      <c r="I544" s="591">
        <v>0.48499999999999999</v>
      </c>
      <c r="J544" s="597">
        <f t="shared" si="38"/>
        <v>-0.38800000000000001</v>
      </c>
      <c r="K544" s="568" t="s">
        <v>1589</v>
      </c>
    </row>
    <row r="545" spans="1:11">
      <c r="A545" s="568"/>
      <c r="B545" s="593" t="s">
        <v>1119</v>
      </c>
      <c r="C545" s="589"/>
      <c r="D545" s="578">
        <v>-1</v>
      </c>
      <c r="E545" s="579" t="s">
        <v>8</v>
      </c>
      <c r="F545" s="569">
        <v>7</v>
      </c>
      <c r="G545" s="590">
        <v>0.2</v>
      </c>
      <c r="H545" s="591">
        <v>0.75</v>
      </c>
      <c r="I545" s="591">
        <v>0.48499999999999999</v>
      </c>
      <c r="J545" s="597">
        <f t="shared" si="38"/>
        <v>-0.50924999999999998</v>
      </c>
      <c r="K545" s="568" t="s">
        <v>1589</v>
      </c>
    </row>
    <row r="546" spans="1:11">
      <c r="A546" s="568"/>
      <c r="B546" s="593" t="s">
        <v>1120</v>
      </c>
      <c r="C546" s="589"/>
      <c r="D546" s="578">
        <v>-1</v>
      </c>
      <c r="E546" s="579" t="s">
        <v>8</v>
      </c>
      <c r="F546" s="569">
        <f>2</f>
        <v>2</v>
      </c>
      <c r="G546" s="590">
        <v>0.2</v>
      </c>
      <c r="H546" s="591">
        <v>0.6</v>
      </c>
      <c r="I546" s="591">
        <v>0.48499999999999999</v>
      </c>
      <c r="J546" s="597">
        <f t="shared" si="38"/>
        <v>-0.11639999999999999</v>
      </c>
      <c r="K546" s="568" t="s">
        <v>1589</v>
      </c>
    </row>
    <row r="547" spans="1:11">
      <c r="A547" s="568"/>
      <c r="B547" s="593" t="s">
        <v>1121</v>
      </c>
      <c r="C547" s="589"/>
      <c r="D547" s="578">
        <v>-1</v>
      </c>
      <c r="E547" s="579" t="s">
        <v>8</v>
      </c>
      <c r="F547" s="569">
        <v>3</v>
      </c>
      <c r="G547" s="590">
        <v>0.2</v>
      </c>
      <c r="H547" s="591">
        <v>0.6</v>
      </c>
      <c r="I547" s="591">
        <v>0.48499999999999999</v>
      </c>
      <c r="J547" s="597">
        <f t="shared" si="38"/>
        <v>-0.17460000000000001</v>
      </c>
      <c r="K547" s="568" t="s">
        <v>1589</v>
      </c>
    </row>
    <row r="548" spans="1:11">
      <c r="A548" s="568"/>
      <c r="B548" s="593" t="s">
        <v>1122</v>
      </c>
      <c r="C548" s="589"/>
      <c r="D548" s="578">
        <v>-1</v>
      </c>
      <c r="E548" s="579" t="s">
        <v>8</v>
      </c>
      <c r="F548" s="569">
        <v>6</v>
      </c>
      <c r="G548" s="590">
        <v>0.2</v>
      </c>
      <c r="H548" s="591">
        <v>0.9</v>
      </c>
      <c r="I548" s="591">
        <v>0.48499999999999999</v>
      </c>
      <c r="J548" s="597">
        <f t="shared" si="38"/>
        <v>-0.52380000000000015</v>
      </c>
      <c r="K548" s="568" t="s">
        <v>1589</v>
      </c>
    </row>
    <row r="549" spans="1:11">
      <c r="A549" s="568"/>
      <c r="B549" s="593" t="s">
        <v>1123</v>
      </c>
      <c r="C549" s="589"/>
      <c r="D549" s="578">
        <v>-1</v>
      </c>
      <c r="E549" s="579" t="s">
        <v>8</v>
      </c>
      <c r="F549" s="569">
        <v>1</v>
      </c>
      <c r="G549" s="590">
        <v>0.3</v>
      </c>
      <c r="H549" s="591">
        <v>0.9</v>
      </c>
      <c r="I549" s="591">
        <v>0.48499999999999999</v>
      </c>
      <c r="J549" s="597">
        <f t="shared" si="38"/>
        <v>-0.13095000000000001</v>
      </c>
      <c r="K549" s="568" t="s">
        <v>1589</v>
      </c>
    </row>
    <row r="550" spans="1:11">
      <c r="A550" s="568"/>
      <c r="B550" s="593" t="s">
        <v>1124</v>
      </c>
      <c r="C550" s="589"/>
      <c r="D550" s="578">
        <v>-1</v>
      </c>
      <c r="E550" s="579" t="s">
        <v>8</v>
      </c>
      <c r="F550" s="569">
        <v>2</v>
      </c>
      <c r="G550" s="590">
        <v>0.23</v>
      </c>
      <c r="H550" s="591">
        <v>0.9</v>
      </c>
      <c r="I550" s="591">
        <v>0.48499999999999999</v>
      </c>
      <c r="J550" s="597">
        <f t="shared" si="38"/>
        <v>-0.20079000000000002</v>
      </c>
      <c r="K550" s="568" t="s">
        <v>1589</v>
      </c>
    </row>
    <row r="551" spans="1:11">
      <c r="A551" s="568"/>
      <c r="B551" s="593" t="s">
        <v>1125</v>
      </c>
      <c r="C551" s="589"/>
      <c r="D551" s="578">
        <v>-1</v>
      </c>
      <c r="E551" s="579" t="s">
        <v>8</v>
      </c>
      <c r="F551" s="569">
        <v>1</v>
      </c>
      <c r="G551" s="590">
        <v>0.3</v>
      </c>
      <c r="H551" s="591">
        <v>1.1000000000000001</v>
      </c>
      <c r="I551" s="591">
        <v>0.48499999999999999</v>
      </c>
      <c r="J551" s="597">
        <f t="shared" si="38"/>
        <v>-0.16005</v>
      </c>
      <c r="K551" s="568" t="s">
        <v>1589</v>
      </c>
    </row>
    <row r="552" spans="1:11">
      <c r="A552" s="568"/>
      <c r="B552" s="593" t="s">
        <v>1126</v>
      </c>
      <c r="C552" s="589"/>
      <c r="D552" s="578">
        <v>-1</v>
      </c>
      <c r="E552" s="579" t="s">
        <v>8</v>
      </c>
      <c r="F552" s="569">
        <v>8</v>
      </c>
      <c r="G552" s="590">
        <v>0.2</v>
      </c>
      <c r="H552" s="591">
        <v>0.5</v>
      </c>
      <c r="I552" s="591">
        <v>0.48499999999999999</v>
      </c>
      <c r="J552" s="597">
        <f t="shared" si="38"/>
        <v>-0.38800000000000001</v>
      </c>
      <c r="K552" s="568" t="s">
        <v>1589</v>
      </c>
    </row>
    <row r="553" spans="1:11">
      <c r="A553" s="568"/>
      <c r="B553" s="593" t="s">
        <v>1127</v>
      </c>
      <c r="C553" s="589"/>
      <c r="D553" s="578">
        <v>-1</v>
      </c>
      <c r="E553" s="579" t="s">
        <v>8</v>
      </c>
      <c r="F553" s="569">
        <v>4</v>
      </c>
      <c r="G553" s="590">
        <v>0.2</v>
      </c>
      <c r="H553" s="591">
        <v>0.2</v>
      </c>
      <c r="I553" s="591">
        <v>0.48499999999999999</v>
      </c>
      <c r="J553" s="597">
        <f t="shared" si="38"/>
        <v>-7.7600000000000016E-2</v>
      </c>
      <c r="K553" s="568" t="s">
        <v>1589</v>
      </c>
    </row>
    <row r="554" spans="1:11">
      <c r="A554" s="568"/>
      <c r="B554" s="593" t="s">
        <v>1128</v>
      </c>
      <c r="C554" s="589"/>
      <c r="D554" s="578">
        <v>-1</v>
      </c>
      <c r="E554" s="579" t="s">
        <v>8</v>
      </c>
      <c r="F554" s="569">
        <v>1</v>
      </c>
      <c r="G554" s="590">
        <v>0.23</v>
      </c>
      <c r="H554" s="591">
        <v>0.75</v>
      </c>
      <c r="I554" s="591">
        <v>0.48499999999999999</v>
      </c>
      <c r="J554" s="597">
        <f t="shared" si="38"/>
        <v>-8.3662500000000001E-2</v>
      </c>
      <c r="K554" s="568" t="s">
        <v>1589</v>
      </c>
    </row>
    <row r="555" spans="1:11" ht="18" customHeight="1">
      <c r="A555" s="568"/>
      <c r="B555" s="593"/>
      <c r="C555" s="589"/>
      <c r="G555" s="590"/>
      <c r="H555" s="591"/>
      <c r="I555" s="591"/>
      <c r="J555" s="605">
        <f>SUM(J473:J554)</f>
        <v>41.207202500000022</v>
      </c>
      <c r="K555" s="592"/>
    </row>
    <row r="556" spans="1:11" ht="18" customHeight="1">
      <c r="A556" s="568"/>
      <c r="B556" s="593"/>
      <c r="C556" s="589"/>
      <c r="G556" s="590"/>
      <c r="H556" s="591"/>
      <c r="I556" s="591"/>
      <c r="J556" s="605">
        <f>ROUNDUP(J555,0)</f>
        <v>42</v>
      </c>
      <c r="K556" s="592" t="s">
        <v>52</v>
      </c>
    </row>
    <row r="557" spans="1:11">
      <c r="A557" s="568"/>
      <c r="B557" s="584" t="s">
        <v>47</v>
      </c>
      <c r="C557" s="589"/>
      <c r="G557" s="590"/>
      <c r="H557" s="591"/>
      <c r="I557" s="591"/>
      <c r="J557" s="591"/>
      <c r="K557" s="592"/>
    </row>
    <row r="558" spans="1:11">
      <c r="A558" s="568"/>
      <c r="B558" s="593" t="s">
        <v>630</v>
      </c>
      <c r="C558" s="589"/>
      <c r="G558" s="590"/>
      <c r="H558" s="591"/>
      <c r="I558" s="591"/>
      <c r="J558" s="591"/>
      <c r="K558" s="592"/>
    </row>
    <row r="559" spans="1:11">
      <c r="A559" s="568"/>
      <c r="B559" s="593" t="s">
        <v>1112</v>
      </c>
      <c r="C559" s="589"/>
      <c r="D559" s="578">
        <v>1</v>
      </c>
      <c r="E559" s="579" t="s">
        <v>8</v>
      </c>
      <c r="F559" s="569">
        <v>7</v>
      </c>
      <c r="G559" s="590">
        <v>0.2</v>
      </c>
      <c r="H559" s="591">
        <v>1.2</v>
      </c>
      <c r="I559" s="591">
        <f>2-0.75+0.45</f>
        <v>1.7</v>
      </c>
      <c r="J559" s="597">
        <f t="shared" ref="J559:J575" si="39">PRODUCT(D559:I559)</f>
        <v>2.8560000000000003</v>
      </c>
      <c r="K559" s="592"/>
    </row>
    <row r="560" spans="1:11">
      <c r="A560" s="568"/>
      <c r="B560" s="593" t="s">
        <v>1113</v>
      </c>
      <c r="C560" s="589"/>
      <c r="D560" s="578">
        <v>1</v>
      </c>
      <c r="E560" s="579" t="s">
        <v>8</v>
      </c>
      <c r="F560" s="569">
        <v>2</v>
      </c>
      <c r="G560" s="590">
        <v>0.2</v>
      </c>
      <c r="H560" s="591">
        <v>1.2</v>
      </c>
      <c r="I560" s="591">
        <f>2-0.7+0.45</f>
        <v>1.75</v>
      </c>
      <c r="J560" s="597">
        <f t="shared" si="39"/>
        <v>0.84</v>
      </c>
      <c r="K560" s="592"/>
    </row>
    <row r="561" spans="1:11">
      <c r="A561" s="568"/>
      <c r="B561" s="593" t="s">
        <v>1114</v>
      </c>
      <c r="C561" s="589"/>
      <c r="D561" s="578">
        <v>1</v>
      </c>
      <c r="E561" s="579" t="s">
        <v>8</v>
      </c>
      <c r="F561" s="569">
        <v>4</v>
      </c>
      <c r="G561" s="590">
        <v>0.2</v>
      </c>
      <c r="H561" s="591">
        <v>1</v>
      </c>
      <c r="I561" s="591">
        <f>2-0.7+0.45</f>
        <v>1.75</v>
      </c>
      <c r="J561" s="597">
        <f t="shared" si="39"/>
        <v>1.4000000000000001</v>
      </c>
      <c r="K561" s="592"/>
    </row>
    <row r="562" spans="1:11">
      <c r="A562" s="568"/>
      <c r="B562" s="593" t="s">
        <v>1115</v>
      </c>
      <c r="C562" s="589"/>
      <c r="D562" s="578">
        <v>1</v>
      </c>
      <c r="E562" s="579" t="s">
        <v>8</v>
      </c>
      <c r="F562" s="569">
        <v>2</v>
      </c>
      <c r="G562" s="590">
        <v>0.2</v>
      </c>
      <c r="H562" s="591">
        <v>1</v>
      </c>
      <c r="I562" s="591">
        <f>2-0.6+0.45</f>
        <v>1.8499999999999999</v>
      </c>
      <c r="J562" s="597">
        <f t="shared" si="39"/>
        <v>0.74</v>
      </c>
      <c r="K562" s="592"/>
    </row>
    <row r="563" spans="1:11">
      <c r="A563" s="568"/>
      <c r="B563" s="593" t="s">
        <v>1116</v>
      </c>
      <c r="C563" s="589"/>
      <c r="D563" s="578">
        <v>1</v>
      </c>
      <c r="E563" s="579" t="s">
        <v>8</v>
      </c>
      <c r="F563" s="569">
        <f>4+5</f>
        <v>9</v>
      </c>
      <c r="G563" s="590">
        <v>0.2</v>
      </c>
      <c r="H563" s="591">
        <v>0.9</v>
      </c>
      <c r="I563" s="591">
        <f>2-0.7+0.45</f>
        <v>1.75</v>
      </c>
      <c r="J563" s="597">
        <f t="shared" si="39"/>
        <v>2.835</v>
      </c>
      <c r="K563" s="592"/>
    </row>
    <row r="564" spans="1:11">
      <c r="A564" s="568"/>
      <c r="B564" s="593" t="s">
        <v>1117</v>
      </c>
      <c r="C564" s="589"/>
      <c r="D564" s="578">
        <v>1</v>
      </c>
      <c r="E564" s="579" t="s">
        <v>8</v>
      </c>
      <c r="F564" s="569">
        <v>3</v>
      </c>
      <c r="G564" s="590">
        <v>0.2</v>
      </c>
      <c r="H564" s="591">
        <v>0.9</v>
      </c>
      <c r="I564" s="591">
        <f>2-0.5+0.45</f>
        <v>1.95</v>
      </c>
      <c r="J564" s="597">
        <f t="shared" si="39"/>
        <v>1.0530000000000002</v>
      </c>
      <c r="K564" s="592"/>
    </row>
    <row r="565" spans="1:11">
      <c r="A565" s="568"/>
      <c r="B565" s="593" t="s">
        <v>1118</v>
      </c>
      <c r="C565" s="589"/>
      <c r="D565" s="578">
        <v>1</v>
      </c>
      <c r="E565" s="579" t="s">
        <v>8</v>
      </c>
      <c r="F565" s="569">
        <f>3+2</f>
        <v>5</v>
      </c>
      <c r="G565" s="590">
        <v>0.2</v>
      </c>
      <c r="H565" s="591">
        <v>0.8</v>
      </c>
      <c r="I565" s="591">
        <f>2-0.6+0.45</f>
        <v>1.8499999999999999</v>
      </c>
      <c r="J565" s="597">
        <f t="shared" si="39"/>
        <v>1.48</v>
      </c>
      <c r="K565" s="592"/>
    </row>
    <row r="566" spans="1:11">
      <c r="A566" s="568"/>
      <c r="B566" s="593" t="s">
        <v>1119</v>
      </c>
      <c r="C566" s="589"/>
      <c r="D566" s="578">
        <v>1</v>
      </c>
      <c r="E566" s="579" t="s">
        <v>8</v>
      </c>
      <c r="F566" s="569">
        <v>7</v>
      </c>
      <c r="G566" s="590">
        <v>0.2</v>
      </c>
      <c r="H566" s="591">
        <v>0.75</v>
      </c>
      <c r="I566" s="591">
        <f>2-0.8+0.45</f>
        <v>1.65</v>
      </c>
      <c r="J566" s="597">
        <f t="shared" si="39"/>
        <v>1.7324999999999999</v>
      </c>
      <c r="K566" s="592"/>
    </row>
    <row r="567" spans="1:11">
      <c r="A567" s="568"/>
      <c r="B567" s="593" t="s">
        <v>1120</v>
      </c>
      <c r="C567" s="589"/>
      <c r="D567" s="578">
        <v>1</v>
      </c>
      <c r="E567" s="579" t="s">
        <v>8</v>
      </c>
      <c r="F567" s="569">
        <f>2</f>
        <v>2</v>
      </c>
      <c r="G567" s="590">
        <v>0.2</v>
      </c>
      <c r="H567" s="591">
        <v>0.6</v>
      </c>
      <c r="I567" s="591">
        <f>2-0.6+0.45</f>
        <v>1.8499999999999999</v>
      </c>
      <c r="J567" s="597">
        <f t="shared" si="39"/>
        <v>0.44399999999999995</v>
      </c>
      <c r="K567" s="592"/>
    </row>
    <row r="568" spans="1:11">
      <c r="A568" s="568"/>
      <c r="B568" s="593" t="s">
        <v>1121</v>
      </c>
      <c r="C568" s="589"/>
      <c r="D568" s="578">
        <v>1</v>
      </c>
      <c r="E568" s="579" t="s">
        <v>8</v>
      </c>
      <c r="F568" s="569">
        <v>3</v>
      </c>
      <c r="G568" s="590">
        <v>0.2</v>
      </c>
      <c r="H568" s="591">
        <v>0.6</v>
      </c>
      <c r="I568" s="591">
        <f>2-0.8+0.45</f>
        <v>1.65</v>
      </c>
      <c r="J568" s="597">
        <f t="shared" si="39"/>
        <v>0.59400000000000008</v>
      </c>
      <c r="K568" s="592"/>
    </row>
    <row r="569" spans="1:11">
      <c r="A569" s="568"/>
      <c r="B569" s="593" t="s">
        <v>1122</v>
      </c>
      <c r="C569" s="589"/>
      <c r="D569" s="578">
        <v>1</v>
      </c>
      <c r="E569" s="579" t="s">
        <v>8</v>
      </c>
      <c r="F569" s="569">
        <v>6</v>
      </c>
      <c r="G569" s="590">
        <v>0.2</v>
      </c>
      <c r="H569" s="591">
        <v>0.9</v>
      </c>
      <c r="I569" s="591">
        <f>2-0.8+0.45</f>
        <v>1.65</v>
      </c>
      <c r="J569" s="597">
        <f t="shared" si="39"/>
        <v>1.7820000000000005</v>
      </c>
      <c r="K569" s="592"/>
    </row>
    <row r="570" spans="1:11">
      <c r="A570" s="568"/>
      <c r="B570" s="593" t="s">
        <v>1123</v>
      </c>
      <c r="C570" s="589"/>
      <c r="D570" s="578">
        <v>1</v>
      </c>
      <c r="E570" s="579" t="s">
        <v>8</v>
      </c>
      <c r="F570" s="569">
        <v>1</v>
      </c>
      <c r="G570" s="590">
        <v>0.3</v>
      </c>
      <c r="H570" s="591">
        <v>0.9</v>
      </c>
      <c r="I570" s="591">
        <f>2-0.8+0.45</f>
        <v>1.65</v>
      </c>
      <c r="J570" s="597">
        <f t="shared" si="39"/>
        <v>0.44550000000000001</v>
      </c>
      <c r="K570" s="592"/>
    </row>
    <row r="571" spans="1:11">
      <c r="A571" s="568"/>
      <c r="B571" s="593" t="s">
        <v>1124</v>
      </c>
      <c r="C571" s="589"/>
      <c r="D571" s="578">
        <v>1</v>
      </c>
      <c r="E571" s="579" t="s">
        <v>8</v>
      </c>
      <c r="F571" s="569">
        <v>2</v>
      </c>
      <c r="G571" s="590">
        <v>0.23</v>
      </c>
      <c r="H571" s="591">
        <v>0.9</v>
      </c>
      <c r="I571" s="591">
        <f>2-0.45+0.45</f>
        <v>2</v>
      </c>
      <c r="J571" s="597">
        <f t="shared" si="39"/>
        <v>0.82800000000000007</v>
      </c>
      <c r="K571" s="592"/>
    </row>
    <row r="572" spans="1:11">
      <c r="A572" s="568"/>
      <c r="B572" s="593" t="s">
        <v>1125</v>
      </c>
      <c r="C572" s="589"/>
      <c r="D572" s="578">
        <v>1</v>
      </c>
      <c r="E572" s="579" t="s">
        <v>8</v>
      </c>
      <c r="F572" s="569">
        <v>1</v>
      </c>
      <c r="G572" s="590">
        <v>0.3</v>
      </c>
      <c r="H572" s="591">
        <v>1.1000000000000001</v>
      </c>
      <c r="I572" s="591">
        <f>2-0.9+0.45</f>
        <v>1.55</v>
      </c>
      <c r="J572" s="597">
        <f t="shared" si="39"/>
        <v>0.51150000000000007</v>
      </c>
      <c r="K572" s="592"/>
    </row>
    <row r="573" spans="1:11">
      <c r="A573" s="568"/>
      <c r="B573" s="593" t="s">
        <v>1126</v>
      </c>
      <c r="C573" s="589"/>
      <c r="D573" s="578">
        <v>1</v>
      </c>
      <c r="E573" s="579" t="s">
        <v>8</v>
      </c>
      <c r="F573" s="569">
        <v>8</v>
      </c>
      <c r="G573" s="590">
        <v>0.2</v>
      </c>
      <c r="H573" s="591">
        <v>0.5</v>
      </c>
      <c r="I573" s="591">
        <f>2-0.55+0.45</f>
        <v>1.9</v>
      </c>
      <c r="J573" s="597">
        <f t="shared" si="39"/>
        <v>1.52</v>
      </c>
      <c r="K573" s="592"/>
    </row>
    <row r="574" spans="1:11">
      <c r="A574" s="568"/>
      <c r="B574" s="593" t="s">
        <v>1127</v>
      </c>
      <c r="C574" s="589"/>
      <c r="D574" s="578">
        <v>1</v>
      </c>
      <c r="E574" s="579" t="s">
        <v>8</v>
      </c>
      <c r="F574" s="569">
        <v>4</v>
      </c>
      <c r="G574" s="590">
        <v>0.2</v>
      </c>
      <c r="H574" s="591">
        <v>0.2</v>
      </c>
      <c r="I574" s="591">
        <f>2-0.45+0.45</f>
        <v>2</v>
      </c>
      <c r="J574" s="597">
        <f t="shared" si="39"/>
        <v>0.32000000000000006</v>
      </c>
      <c r="K574" s="592"/>
    </row>
    <row r="575" spans="1:11">
      <c r="A575" s="568"/>
      <c r="B575" s="593" t="s">
        <v>1128</v>
      </c>
      <c r="C575" s="589"/>
      <c r="D575" s="578">
        <v>1</v>
      </c>
      <c r="E575" s="579" t="s">
        <v>8</v>
      </c>
      <c r="F575" s="569">
        <v>1</v>
      </c>
      <c r="G575" s="590">
        <v>0.23</v>
      </c>
      <c r="H575" s="591">
        <v>0.75</v>
      </c>
      <c r="I575" s="591">
        <f>2-0.5+0.45</f>
        <v>1.95</v>
      </c>
      <c r="J575" s="597">
        <f t="shared" si="39"/>
        <v>0.33637500000000004</v>
      </c>
      <c r="K575" s="592"/>
    </row>
    <row r="576" spans="1:11">
      <c r="A576" s="568"/>
      <c r="B576" s="581" t="s">
        <v>1421</v>
      </c>
      <c r="C576" s="581"/>
      <c r="G576" s="603"/>
      <c r="H576" s="603"/>
      <c r="I576" s="596"/>
      <c r="J576" s="597"/>
      <c r="K576" s="592"/>
    </row>
    <row r="577" spans="1:11">
      <c r="A577" s="568"/>
      <c r="B577" s="593" t="s">
        <v>1113</v>
      </c>
      <c r="C577" s="599"/>
      <c r="D577" s="578">
        <v>1</v>
      </c>
      <c r="E577" s="579" t="s">
        <v>8</v>
      </c>
      <c r="F577" s="569">
        <v>2</v>
      </c>
      <c r="G577" s="600">
        <v>0.375</v>
      </c>
      <c r="H577" s="600">
        <v>0.375</v>
      </c>
      <c r="I577" s="600">
        <f>1.5-0.9</f>
        <v>0.6</v>
      </c>
      <c r="J577" s="597">
        <f t="shared" ref="J577:J579" si="40">PRODUCT(D577:I577)</f>
        <v>0.16874999999999998</v>
      </c>
      <c r="K577" s="568"/>
    </row>
    <row r="578" spans="1:11">
      <c r="A578" s="568"/>
      <c r="B578" s="593" t="s">
        <v>1114</v>
      </c>
      <c r="C578" s="599"/>
      <c r="D578" s="578">
        <v>1</v>
      </c>
      <c r="E578" s="579" t="s">
        <v>8</v>
      </c>
      <c r="F578" s="569">
        <v>1</v>
      </c>
      <c r="G578" s="600">
        <v>0.3</v>
      </c>
      <c r="H578" s="600">
        <v>0.3</v>
      </c>
      <c r="I578" s="600">
        <f>1.5-0.9</f>
        <v>0.6</v>
      </c>
      <c r="J578" s="597">
        <f t="shared" si="40"/>
        <v>5.3999999999999999E-2</v>
      </c>
      <c r="K578" s="568"/>
    </row>
    <row r="579" spans="1:11">
      <c r="A579" s="568"/>
      <c r="B579" s="593" t="s">
        <v>1114</v>
      </c>
      <c r="C579" s="599"/>
      <c r="D579" s="578">
        <v>1</v>
      </c>
      <c r="E579" s="579" t="s">
        <v>8</v>
      </c>
      <c r="F579" s="569">
        <v>2</v>
      </c>
      <c r="G579" s="600">
        <v>0.3</v>
      </c>
      <c r="H579" s="600">
        <v>0.3</v>
      </c>
      <c r="I579" s="600">
        <f>1.5-0.9</f>
        <v>0.6</v>
      </c>
      <c r="J579" s="597">
        <f t="shared" si="40"/>
        <v>0.108</v>
      </c>
      <c r="K579" s="568"/>
    </row>
    <row r="580" spans="1:11">
      <c r="A580" s="568"/>
      <c r="B580" s="593"/>
      <c r="C580" s="589"/>
      <c r="G580" s="590"/>
      <c r="H580" s="591"/>
      <c r="I580" s="591"/>
      <c r="J580" s="605">
        <f>SUM(J559:J579)</f>
        <v>20.048625000000001</v>
      </c>
      <c r="K580" s="592"/>
    </row>
    <row r="581" spans="1:11">
      <c r="A581" s="568"/>
      <c r="B581" s="593"/>
      <c r="C581" s="589"/>
      <c r="G581" s="590"/>
      <c r="H581" s="591"/>
      <c r="I581" s="591"/>
      <c r="J581" s="605">
        <f>ROUNDUP(J580,0)</f>
        <v>21</v>
      </c>
      <c r="K581" s="592" t="s">
        <v>52</v>
      </c>
    </row>
    <row r="582" spans="1:11">
      <c r="A582" s="568"/>
      <c r="B582" s="584" t="s">
        <v>552</v>
      </c>
      <c r="C582" s="589"/>
      <c r="G582" s="590"/>
      <c r="H582" s="591"/>
      <c r="I582" s="591"/>
      <c r="J582" s="591"/>
      <c r="K582" s="592"/>
    </row>
    <row r="583" spans="1:11">
      <c r="A583" s="568"/>
      <c r="B583" s="593" t="s">
        <v>56</v>
      </c>
      <c r="C583" s="589"/>
      <c r="D583" s="578">
        <v>1</v>
      </c>
      <c r="E583" s="579" t="s">
        <v>8</v>
      </c>
      <c r="F583" s="569">
        <v>1</v>
      </c>
      <c r="G583" s="602">
        <v>1.95</v>
      </c>
      <c r="H583" s="603">
        <v>0.2</v>
      </c>
      <c r="I583" s="603">
        <f>1.5+0.75</f>
        <v>2.25</v>
      </c>
      <c r="J583" s="591">
        <f>PRODUCT(D583:I583)</f>
        <v>0.87750000000000006</v>
      </c>
      <c r="K583" s="592"/>
    </row>
    <row r="584" spans="1:11">
      <c r="A584" s="568"/>
      <c r="B584" s="593"/>
      <c r="C584" s="589"/>
      <c r="D584" s="578">
        <v>1</v>
      </c>
      <c r="E584" s="579" t="s">
        <v>8</v>
      </c>
      <c r="F584" s="569">
        <v>1</v>
      </c>
      <c r="G584" s="602">
        <v>2.1</v>
      </c>
      <c r="H584" s="603">
        <v>0.2</v>
      </c>
      <c r="I584" s="603">
        <f>1.5+0.75</f>
        <v>2.25</v>
      </c>
      <c r="J584" s="591">
        <f>PRODUCT(D584:I584)</f>
        <v>0.94500000000000006</v>
      </c>
      <c r="K584" s="592"/>
    </row>
    <row r="585" spans="1:11">
      <c r="A585" s="568"/>
      <c r="B585" s="593"/>
      <c r="C585" s="589"/>
      <c r="D585" s="578">
        <v>1</v>
      </c>
      <c r="E585" s="579" t="s">
        <v>8</v>
      </c>
      <c r="F585" s="569">
        <v>2</v>
      </c>
      <c r="G585" s="602">
        <v>1.9</v>
      </c>
      <c r="H585" s="603">
        <v>0.2</v>
      </c>
      <c r="I585" s="603">
        <f>1.5+0.75</f>
        <v>2.25</v>
      </c>
      <c r="J585" s="591">
        <f t="shared" ref="J585" si="41">PRODUCT(D585:I585)</f>
        <v>1.71</v>
      </c>
      <c r="K585" s="592"/>
    </row>
    <row r="586" spans="1:11">
      <c r="A586" s="568"/>
      <c r="B586" s="601" t="s">
        <v>606</v>
      </c>
      <c r="C586" s="593"/>
      <c r="D586" s="578">
        <v>1</v>
      </c>
      <c r="E586" s="579" t="s">
        <v>8</v>
      </c>
      <c r="F586" s="569">
        <v>1</v>
      </c>
      <c r="G586" s="602">
        <v>5.4</v>
      </c>
      <c r="H586" s="603">
        <v>0.2</v>
      </c>
      <c r="I586" s="603">
        <f>1.5/2</f>
        <v>0.75</v>
      </c>
      <c r="J586" s="591">
        <f>PRODUCT(D586:I586)</f>
        <v>0.81</v>
      </c>
      <c r="K586" s="592"/>
    </row>
    <row r="587" spans="1:11">
      <c r="A587" s="568"/>
      <c r="B587" s="601" t="s">
        <v>1360</v>
      </c>
      <c r="C587" s="593"/>
      <c r="D587" s="578">
        <v>1</v>
      </c>
      <c r="E587" s="579" t="s">
        <v>8</v>
      </c>
      <c r="F587" s="569">
        <v>1</v>
      </c>
      <c r="G587" s="602">
        <v>6.7</v>
      </c>
      <c r="H587" s="603">
        <v>0.2</v>
      </c>
      <c r="I587" s="603">
        <v>1.5</v>
      </c>
      <c r="J587" s="591">
        <f>PRODUCT(D587:I587)</f>
        <v>2.0100000000000002</v>
      </c>
      <c r="K587" s="592"/>
    </row>
    <row r="588" spans="1:11">
      <c r="A588" s="568"/>
      <c r="B588" s="593" t="s">
        <v>1346</v>
      </c>
      <c r="C588" s="606"/>
      <c r="G588" s="615"/>
      <c r="H588" s="615"/>
      <c r="I588" s="615"/>
      <c r="J588" s="605"/>
      <c r="K588" s="596"/>
    </row>
    <row r="589" spans="1:11">
      <c r="A589" s="568"/>
      <c r="B589" s="593" t="s">
        <v>1344</v>
      </c>
      <c r="C589" s="606"/>
      <c r="D589" s="578">
        <v>2</v>
      </c>
      <c r="E589" s="579" t="s">
        <v>8</v>
      </c>
      <c r="F589" s="569">
        <v>1</v>
      </c>
      <c r="G589" s="600">
        <v>7.7</v>
      </c>
      <c r="H589" s="600">
        <v>0.2</v>
      </c>
      <c r="I589" s="600">
        <f>1.8+0.65</f>
        <v>2.4500000000000002</v>
      </c>
      <c r="J589" s="597">
        <f t="shared" ref="J589:J590" si="42">PRODUCT(D589:I589)</f>
        <v>7.5460000000000012</v>
      </c>
      <c r="K589" s="596"/>
    </row>
    <row r="590" spans="1:11">
      <c r="A590" s="568"/>
      <c r="B590" s="593" t="s">
        <v>1345</v>
      </c>
      <c r="C590" s="606"/>
      <c r="D590" s="578">
        <v>4</v>
      </c>
      <c r="E590" s="579" t="s">
        <v>8</v>
      </c>
      <c r="F590" s="569">
        <v>1</v>
      </c>
      <c r="G590" s="600">
        <v>3</v>
      </c>
      <c r="H590" s="600">
        <v>0.2</v>
      </c>
      <c r="I590" s="600">
        <f>1.8+0.65</f>
        <v>2.4500000000000002</v>
      </c>
      <c r="J590" s="597">
        <f t="shared" si="42"/>
        <v>5.8800000000000017</v>
      </c>
      <c r="K590" s="596"/>
    </row>
    <row r="591" spans="1:11">
      <c r="A591" s="568"/>
      <c r="B591" s="593" t="s">
        <v>1391</v>
      </c>
      <c r="C591" s="606"/>
      <c r="G591" s="615"/>
      <c r="H591" s="615"/>
      <c r="I591" s="615"/>
      <c r="J591" s="605"/>
      <c r="K591" s="596"/>
    </row>
    <row r="592" spans="1:11">
      <c r="A592" s="568"/>
      <c r="B592" s="593" t="s">
        <v>1344</v>
      </c>
      <c r="C592" s="606"/>
      <c r="D592" s="578">
        <v>2</v>
      </c>
      <c r="E592" s="579" t="s">
        <v>8</v>
      </c>
      <c r="F592" s="569">
        <v>1</v>
      </c>
      <c r="G592" s="600">
        <f>4</f>
        <v>4</v>
      </c>
      <c r="H592" s="600">
        <v>0.2</v>
      </c>
      <c r="I592" s="600">
        <v>2.0499999999999998</v>
      </c>
      <c r="J592" s="597">
        <f t="shared" ref="J592:J593" si="43">PRODUCT(D592:I592)</f>
        <v>3.28</v>
      </c>
      <c r="K592" s="596"/>
    </row>
    <row r="593" spans="1:11">
      <c r="A593" s="568"/>
      <c r="B593" s="593" t="s">
        <v>1345</v>
      </c>
      <c r="C593" s="606"/>
      <c r="D593" s="578">
        <v>3</v>
      </c>
      <c r="E593" s="579" t="s">
        <v>8</v>
      </c>
      <c r="F593" s="569">
        <v>1</v>
      </c>
      <c r="G593" s="600">
        <v>1.8</v>
      </c>
      <c r="H593" s="600">
        <v>0.2</v>
      </c>
      <c r="I593" s="600">
        <v>2.0499999999999998</v>
      </c>
      <c r="J593" s="597">
        <f t="shared" si="43"/>
        <v>2.214</v>
      </c>
      <c r="K593" s="596"/>
    </row>
    <row r="594" spans="1:11">
      <c r="A594" s="568"/>
      <c r="B594" s="593" t="s">
        <v>1400</v>
      </c>
      <c r="C594" s="608"/>
      <c r="G594" s="604"/>
      <c r="H594" s="600"/>
      <c r="I594" s="600"/>
      <c r="J594" s="597"/>
      <c r="K594" s="596"/>
    </row>
    <row r="595" spans="1:11">
      <c r="A595" s="568"/>
      <c r="B595" s="593" t="s">
        <v>1344</v>
      </c>
      <c r="C595" s="606"/>
      <c r="D595" s="578">
        <v>2</v>
      </c>
      <c r="E595" s="579" t="s">
        <v>8</v>
      </c>
      <c r="F595" s="569">
        <v>1</v>
      </c>
      <c r="G595" s="600">
        <v>7.1</v>
      </c>
      <c r="H595" s="600">
        <v>0.23</v>
      </c>
      <c r="I595" s="600">
        <f>3.3+1.1</f>
        <v>4.4000000000000004</v>
      </c>
      <c r="J595" s="597">
        <f t="shared" ref="J595:J596" si="44">PRODUCT(D595:I595)</f>
        <v>14.370400000000002</v>
      </c>
      <c r="K595" s="596"/>
    </row>
    <row r="596" spans="1:11">
      <c r="A596" s="568"/>
      <c r="B596" s="593" t="s">
        <v>1345</v>
      </c>
      <c r="C596" s="606"/>
      <c r="D596" s="578">
        <v>4</v>
      </c>
      <c r="E596" s="579" t="s">
        <v>8</v>
      </c>
      <c r="F596" s="569">
        <v>1</v>
      </c>
      <c r="G596" s="600">
        <v>2.54</v>
      </c>
      <c r="H596" s="600">
        <v>0.23</v>
      </c>
      <c r="I596" s="600">
        <f>3.3+1.1</f>
        <v>4.4000000000000004</v>
      </c>
      <c r="J596" s="597">
        <f t="shared" si="44"/>
        <v>10.281920000000001</v>
      </c>
      <c r="K596" s="596"/>
    </row>
    <row r="597" spans="1:11">
      <c r="A597" s="568"/>
      <c r="B597" s="593"/>
      <c r="C597" s="589"/>
      <c r="G597" s="616"/>
      <c r="H597" s="617"/>
      <c r="I597" s="617"/>
      <c r="J597" s="605">
        <f>SUM(J583:J596)</f>
        <v>49.924820000000004</v>
      </c>
      <c r="K597" s="592"/>
    </row>
    <row r="598" spans="1:11">
      <c r="A598" s="568"/>
      <c r="B598" s="593"/>
      <c r="C598" s="589"/>
      <c r="G598" s="590"/>
      <c r="H598" s="591"/>
      <c r="I598" s="591"/>
      <c r="J598" s="605">
        <f>ROUNDUP(J597,0)</f>
        <v>50</v>
      </c>
      <c r="K598" s="592" t="s">
        <v>52</v>
      </c>
    </row>
    <row r="599" spans="1:11">
      <c r="A599" s="568"/>
      <c r="B599" s="584" t="s">
        <v>632</v>
      </c>
      <c r="C599" s="589"/>
      <c r="G599" s="590"/>
      <c r="H599" s="591"/>
      <c r="I599" s="591"/>
      <c r="J599" s="591"/>
      <c r="K599" s="592"/>
    </row>
    <row r="600" spans="1:11">
      <c r="A600" s="568"/>
      <c r="B600" s="593" t="s">
        <v>511</v>
      </c>
      <c r="C600" s="589"/>
      <c r="D600" s="578">
        <v>1</v>
      </c>
      <c r="E600" s="579" t="s">
        <v>8</v>
      </c>
      <c r="F600" s="569">
        <v>1</v>
      </c>
      <c r="G600" s="590">
        <v>3.5</v>
      </c>
      <c r="H600" s="591">
        <v>1.8</v>
      </c>
      <c r="I600" s="591">
        <v>0.125</v>
      </c>
      <c r="J600" s="598">
        <f t="shared" ref="J600:J602" si="45">ROUNDUP(PRODUCT(D600:I600),2)</f>
        <v>0.79</v>
      </c>
      <c r="K600" s="592"/>
    </row>
    <row r="601" spans="1:11">
      <c r="A601" s="568"/>
      <c r="B601" s="593" t="s">
        <v>606</v>
      </c>
      <c r="C601" s="589"/>
      <c r="D601" s="578">
        <v>1</v>
      </c>
      <c r="E601" s="579" t="s">
        <v>8</v>
      </c>
      <c r="F601" s="569">
        <v>1</v>
      </c>
      <c r="G601" s="590">
        <v>5.4</v>
      </c>
      <c r="H601" s="591">
        <v>1.8</v>
      </c>
      <c r="I601" s="591">
        <v>0.125</v>
      </c>
      <c r="J601" s="598">
        <f t="shared" si="45"/>
        <v>1.22</v>
      </c>
      <c r="K601" s="592"/>
    </row>
    <row r="602" spans="1:11">
      <c r="A602" s="568"/>
      <c r="B602" s="593" t="s">
        <v>1370</v>
      </c>
      <c r="C602" s="589"/>
      <c r="D602" s="578">
        <v>1</v>
      </c>
      <c r="E602" s="579" t="s">
        <v>8</v>
      </c>
      <c r="F602" s="569">
        <v>2</v>
      </c>
      <c r="G602" s="590">
        <v>3.5</v>
      </c>
      <c r="H602" s="591">
        <v>0.3</v>
      </c>
      <c r="I602" s="591">
        <v>0.15</v>
      </c>
      <c r="J602" s="598">
        <f t="shared" si="45"/>
        <v>0.32</v>
      </c>
      <c r="K602" s="581"/>
    </row>
    <row r="603" spans="1:11">
      <c r="A603" s="568"/>
      <c r="B603" s="593"/>
      <c r="C603" s="589"/>
      <c r="G603" s="590"/>
      <c r="H603" s="591"/>
      <c r="I603" s="591"/>
      <c r="J603" s="614">
        <f>SUM(J600:J602)</f>
        <v>2.3299999999999996</v>
      </c>
      <c r="K603" s="581"/>
    </row>
    <row r="604" spans="1:11">
      <c r="A604" s="568"/>
      <c r="B604" s="593"/>
      <c r="C604" s="589"/>
      <c r="G604" s="590"/>
      <c r="H604" s="591"/>
      <c r="I604" s="591"/>
      <c r="J604" s="605">
        <f>ROUNDUP(J603,0)</f>
        <v>3</v>
      </c>
      <c r="K604" s="592" t="s">
        <v>52</v>
      </c>
    </row>
    <row r="605" spans="1:11">
      <c r="A605" s="568"/>
      <c r="B605" s="584" t="s">
        <v>516</v>
      </c>
      <c r="C605" s="589"/>
      <c r="G605" s="590"/>
      <c r="H605" s="591"/>
      <c r="I605" s="591"/>
      <c r="J605" s="605"/>
      <c r="K605" s="592"/>
    </row>
    <row r="606" spans="1:11">
      <c r="A606" s="568"/>
      <c r="B606" s="593" t="s">
        <v>1371</v>
      </c>
      <c r="C606" s="606"/>
      <c r="D606" s="578">
        <v>1</v>
      </c>
      <c r="E606" s="579" t="s">
        <v>8</v>
      </c>
      <c r="F606" s="569">
        <v>1</v>
      </c>
      <c r="G606" s="618">
        <v>7.7</v>
      </c>
      <c r="H606" s="618">
        <v>3.4</v>
      </c>
      <c r="I606" s="618">
        <v>0.15</v>
      </c>
      <c r="J606" s="597">
        <f t="shared" ref="J606:J609" si="46">PRODUCT(D606:I606)</f>
        <v>3.9269999999999996</v>
      </c>
      <c r="K606" s="592"/>
    </row>
    <row r="607" spans="1:11">
      <c r="A607" s="568"/>
      <c r="B607" s="593" t="s">
        <v>1349</v>
      </c>
      <c r="C607" s="606"/>
      <c r="D607" s="578">
        <v>-6</v>
      </c>
      <c r="E607" s="579" t="s">
        <v>8</v>
      </c>
      <c r="F607" s="569">
        <v>1</v>
      </c>
      <c r="G607" s="618">
        <v>0.6</v>
      </c>
      <c r="H607" s="618">
        <v>0.6</v>
      </c>
      <c r="I607" s="618">
        <v>0.15</v>
      </c>
      <c r="J607" s="597">
        <f t="shared" si="46"/>
        <v>-0.32399999999999995</v>
      </c>
      <c r="K607" s="592"/>
    </row>
    <row r="608" spans="1:11">
      <c r="A608" s="568"/>
      <c r="B608" s="593" t="s">
        <v>1350</v>
      </c>
      <c r="C608" s="606"/>
      <c r="D608" s="578">
        <v>1</v>
      </c>
      <c r="E608" s="579" t="s">
        <v>8</v>
      </c>
      <c r="F608" s="569">
        <v>1</v>
      </c>
      <c r="G608" s="618">
        <v>7.1</v>
      </c>
      <c r="H608" s="618">
        <v>3</v>
      </c>
      <c r="I608" s="618">
        <v>0.15</v>
      </c>
      <c r="J608" s="597">
        <f t="shared" si="46"/>
        <v>3.1949999999999994</v>
      </c>
      <c r="K608" s="592"/>
    </row>
    <row r="609" spans="1:11">
      <c r="A609" s="568"/>
      <c r="B609" s="593" t="s">
        <v>1349</v>
      </c>
      <c r="C609" s="606"/>
      <c r="D609" s="578">
        <v>-2</v>
      </c>
      <c r="E609" s="579" t="s">
        <v>8</v>
      </c>
      <c r="F609" s="569">
        <v>1</v>
      </c>
      <c r="G609" s="618">
        <v>0.6</v>
      </c>
      <c r="H609" s="618">
        <v>0.6</v>
      </c>
      <c r="I609" s="618">
        <v>0.15</v>
      </c>
      <c r="J609" s="597">
        <f t="shared" si="46"/>
        <v>-0.108</v>
      </c>
      <c r="K609" s="592"/>
    </row>
    <row r="610" spans="1:11">
      <c r="A610" s="568"/>
      <c r="B610" s="593"/>
      <c r="C610" s="589"/>
      <c r="G610" s="590"/>
      <c r="H610" s="591"/>
      <c r="I610" s="591"/>
      <c r="J610" s="614">
        <f>SUM(J606:J609)</f>
        <v>6.6899999999999995</v>
      </c>
      <c r="K610" s="592"/>
    </row>
    <row r="611" spans="1:11">
      <c r="A611" s="568"/>
      <c r="B611" s="593"/>
      <c r="C611" s="589"/>
      <c r="G611" s="590"/>
      <c r="H611" s="591"/>
      <c r="I611" s="591"/>
      <c r="J611" s="605">
        <f>ROUNDUP(J610,0)</f>
        <v>7</v>
      </c>
      <c r="K611" s="592" t="s">
        <v>52</v>
      </c>
    </row>
    <row r="612" spans="1:11">
      <c r="A612" s="568"/>
      <c r="B612" s="593"/>
      <c r="C612" s="589"/>
      <c r="G612" s="590"/>
      <c r="H612" s="591"/>
      <c r="I612" s="591"/>
      <c r="J612" s="591"/>
      <c r="K612" s="592"/>
    </row>
    <row r="613" spans="1:11">
      <c r="A613" s="568"/>
      <c r="B613" s="584" t="s">
        <v>58</v>
      </c>
      <c r="C613" s="589"/>
      <c r="G613" s="590"/>
      <c r="H613" s="591"/>
      <c r="I613" s="591"/>
      <c r="J613" s="605">
        <f>J598+J581+J556+J470+J604+J611</f>
        <v>473</v>
      </c>
      <c r="K613" s="592" t="s">
        <v>52</v>
      </c>
    </row>
    <row r="614" spans="1:11">
      <c r="A614" s="568"/>
      <c r="B614" s="593"/>
      <c r="C614" s="589"/>
      <c r="G614" s="590"/>
      <c r="H614" s="591"/>
      <c r="I614" s="591"/>
      <c r="J614" s="591"/>
      <c r="K614" s="592"/>
    </row>
    <row r="615" spans="1:11" ht="217.5" customHeight="1">
      <c r="A615" s="568">
        <f>A432+1</f>
        <v>8</v>
      </c>
      <c r="B615" s="712" t="str">
        <f>'BOQ-C&amp;I'!C39</f>
        <v xml:space="preserve">Providing and laying in position, Standardised Concrete Mix M-25 Grade in accordance with IS:456-2000, using 20mm and down graded hard broken granite stone jelly for all RCC items of works with minimum cement content of 350 kg/mᶾ and maximum water cement ratio of 0.45, including admixture (plasticiser / super plasticiser) in recommended proportions as per IS:9103 to accelerate, retard setting of concrete, improve workability without impairing strength and durability with about (5.0 cu.m.) 7730 kg. of 20mm machine crushed stone jelly and with about (3.3 cu.m.) 5156 kg. of 10-12mm machine crushed stone jelly and with about (4.79 cu.m.) 7670 kg. of M.Sand, but excluding cost of reinforcement grill and fabricating charges, centering and shuttering and also including laying, vibrating with mechanical vibrators, finishing, curing, etc. and providing fixtures like fan clamps in the RCC floor/ roof slabs wherever necessary without claiming extra, etc., complete complying with standard specification and as directed by the departmental officers.  </v>
      </c>
      <c r="C615" s="713"/>
      <c r="D615" s="713"/>
      <c r="E615" s="713"/>
      <c r="F615" s="713"/>
      <c r="G615" s="713"/>
      <c r="H615" s="713"/>
      <c r="I615" s="713"/>
      <c r="J615" s="713"/>
      <c r="K615" s="714"/>
    </row>
    <row r="616" spans="1:11">
      <c r="A616" s="568" t="s">
        <v>70</v>
      </c>
      <c r="B616" s="584" t="str">
        <f>'BOQ-C&amp;I'!C34</f>
        <v>Ground Floor</v>
      </c>
      <c r="C616" s="589"/>
      <c r="G616" s="590"/>
      <c r="H616" s="591"/>
      <c r="I616" s="591"/>
      <c r="J616" s="591"/>
      <c r="K616" s="592"/>
    </row>
    <row r="617" spans="1:11">
      <c r="A617" s="568"/>
      <c r="B617" s="593" t="s">
        <v>1112</v>
      </c>
      <c r="C617" s="589"/>
      <c r="D617" s="578">
        <v>1</v>
      </c>
      <c r="E617" s="579" t="s">
        <v>8</v>
      </c>
      <c r="F617" s="569">
        <v>7</v>
      </c>
      <c r="G617" s="590">
        <v>0.2</v>
      </c>
      <c r="H617" s="591">
        <v>1.2</v>
      </c>
      <c r="I617" s="591">
        <f>4-0.45</f>
        <v>3.55</v>
      </c>
      <c r="J617" s="598">
        <f t="shared" ref="J617:J633" si="47">ROUNDUP(PRODUCT(D617:I617),2)</f>
        <v>5.97</v>
      </c>
      <c r="K617" s="592"/>
    </row>
    <row r="618" spans="1:11">
      <c r="A618" s="568"/>
      <c r="B618" s="593" t="s">
        <v>1113</v>
      </c>
      <c r="C618" s="589"/>
      <c r="D618" s="578">
        <v>1</v>
      </c>
      <c r="E618" s="579" t="s">
        <v>8</v>
      </c>
      <c r="F618" s="569">
        <v>2</v>
      </c>
      <c r="G618" s="590">
        <v>0.2</v>
      </c>
      <c r="H618" s="591">
        <v>1.2</v>
      </c>
      <c r="I618" s="591">
        <f t="shared" ref="I618:I633" si="48">4-0.45</f>
        <v>3.55</v>
      </c>
      <c r="J618" s="598">
        <f t="shared" si="47"/>
        <v>1.71</v>
      </c>
      <c r="K618" s="592"/>
    </row>
    <row r="619" spans="1:11">
      <c r="A619" s="568"/>
      <c r="B619" s="593" t="s">
        <v>1114</v>
      </c>
      <c r="C619" s="589"/>
      <c r="D619" s="578">
        <v>1</v>
      </c>
      <c r="E619" s="579" t="s">
        <v>8</v>
      </c>
      <c r="F619" s="569">
        <v>4</v>
      </c>
      <c r="G619" s="590">
        <v>0.2</v>
      </c>
      <c r="H619" s="591">
        <v>1</v>
      </c>
      <c r="I619" s="591">
        <f t="shared" si="48"/>
        <v>3.55</v>
      </c>
      <c r="J619" s="598">
        <f t="shared" si="47"/>
        <v>2.84</v>
      </c>
      <c r="K619" s="592"/>
    </row>
    <row r="620" spans="1:11">
      <c r="A620" s="568"/>
      <c r="B620" s="593" t="s">
        <v>1115</v>
      </c>
      <c r="C620" s="589"/>
      <c r="D620" s="578">
        <v>1</v>
      </c>
      <c r="E620" s="579" t="s">
        <v>8</v>
      </c>
      <c r="F620" s="569">
        <v>2</v>
      </c>
      <c r="G620" s="590">
        <v>0.2</v>
      </c>
      <c r="H620" s="591">
        <v>1</v>
      </c>
      <c r="I620" s="591">
        <f t="shared" si="48"/>
        <v>3.55</v>
      </c>
      <c r="J620" s="598">
        <f t="shared" si="47"/>
        <v>1.42</v>
      </c>
      <c r="K620" s="592"/>
    </row>
    <row r="621" spans="1:11">
      <c r="A621" s="568"/>
      <c r="B621" s="593" t="s">
        <v>1116</v>
      </c>
      <c r="C621" s="589"/>
      <c r="D621" s="578">
        <v>1</v>
      </c>
      <c r="E621" s="579" t="s">
        <v>8</v>
      </c>
      <c r="F621" s="569">
        <f>4+5</f>
        <v>9</v>
      </c>
      <c r="G621" s="590">
        <v>0.2</v>
      </c>
      <c r="H621" s="591">
        <v>0.9</v>
      </c>
      <c r="I621" s="591">
        <f t="shared" si="48"/>
        <v>3.55</v>
      </c>
      <c r="J621" s="598">
        <f t="shared" si="47"/>
        <v>5.76</v>
      </c>
      <c r="K621" s="592"/>
    </row>
    <row r="622" spans="1:11">
      <c r="A622" s="568"/>
      <c r="B622" s="593" t="s">
        <v>1117</v>
      </c>
      <c r="C622" s="589"/>
      <c r="D622" s="578">
        <v>1</v>
      </c>
      <c r="E622" s="579" t="s">
        <v>8</v>
      </c>
      <c r="F622" s="569">
        <v>3</v>
      </c>
      <c r="G622" s="590">
        <v>0.2</v>
      </c>
      <c r="H622" s="591">
        <v>0.9</v>
      </c>
      <c r="I622" s="591">
        <f t="shared" si="48"/>
        <v>3.55</v>
      </c>
      <c r="J622" s="598">
        <f t="shared" si="47"/>
        <v>1.92</v>
      </c>
      <c r="K622" s="592"/>
    </row>
    <row r="623" spans="1:11">
      <c r="A623" s="568"/>
      <c r="B623" s="593" t="s">
        <v>1118</v>
      </c>
      <c r="C623" s="589"/>
      <c r="D623" s="578">
        <v>1</v>
      </c>
      <c r="E623" s="579" t="s">
        <v>8</v>
      </c>
      <c r="F623" s="569">
        <f>3+2</f>
        <v>5</v>
      </c>
      <c r="G623" s="590">
        <v>0.2</v>
      </c>
      <c r="H623" s="591">
        <v>0.8</v>
      </c>
      <c r="I623" s="591">
        <f t="shared" si="48"/>
        <v>3.55</v>
      </c>
      <c r="J623" s="598">
        <f t="shared" si="47"/>
        <v>2.84</v>
      </c>
      <c r="K623" s="592"/>
    </row>
    <row r="624" spans="1:11">
      <c r="A624" s="568"/>
      <c r="B624" s="593" t="s">
        <v>1119</v>
      </c>
      <c r="C624" s="589"/>
      <c r="D624" s="578">
        <v>1</v>
      </c>
      <c r="E624" s="579" t="s">
        <v>8</v>
      </c>
      <c r="F624" s="569">
        <v>7</v>
      </c>
      <c r="G624" s="590">
        <v>0.2</v>
      </c>
      <c r="H624" s="591">
        <v>0.75</v>
      </c>
      <c r="I624" s="591">
        <f t="shared" si="48"/>
        <v>3.55</v>
      </c>
      <c r="J624" s="598">
        <f t="shared" si="47"/>
        <v>3.73</v>
      </c>
      <c r="K624" s="592"/>
    </row>
    <row r="625" spans="1:11">
      <c r="A625" s="568"/>
      <c r="B625" s="593" t="s">
        <v>1120</v>
      </c>
      <c r="C625" s="589"/>
      <c r="D625" s="578">
        <v>1</v>
      </c>
      <c r="E625" s="579" t="s">
        <v>8</v>
      </c>
      <c r="F625" s="569">
        <f>2</f>
        <v>2</v>
      </c>
      <c r="G625" s="590">
        <v>0.2</v>
      </c>
      <c r="H625" s="591">
        <v>0.6</v>
      </c>
      <c r="I625" s="591">
        <f t="shared" si="48"/>
        <v>3.55</v>
      </c>
      <c r="J625" s="598">
        <f t="shared" si="47"/>
        <v>0.86</v>
      </c>
      <c r="K625" s="592"/>
    </row>
    <row r="626" spans="1:11">
      <c r="A626" s="568"/>
      <c r="B626" s="593" t="s">
        <v>1121</v>
      </c>
      <c r="C626" s="589"/>
      <c r="D626" s="578">
        <v>1</v>
      </c>
      <c r="E626" s="579" t="s">
        <v>8</v>
      </c>
      <c r="F626" s="569">
        <v>3</v>
      </c>
      <c r="G626" s="590">
        <v>0.2</v>
      </c>
      <c r="H626" s="591">
        <v>0.6</v>
      </c>
      <c r="I626" s="591">
        <f t="shared" si="48"/>
        <v>3.55</v>
      </c>
      <c r="J626" s="598">
        <f t="shared" si="47"/>
        <v>1.28</v>
      </c>
      <c r="K626" s="592"/>
    </row>
    <row r="627" spans="1:11">
      <c r="A627" s="568"/>
      <c r="B627" s="593" t="s">
        <v>1122</v>
      </c>
      <c r="C627" s="589"/>
      <c r="D627" s="578">
        <v>1</v>
      </c>
      <c r="E627" s="579" t="s">
        <v>8</v>
      </c>
      <c r="F627" s="569">
        <v>6</v>
      </c>
      <c r="G627" s="590">
        <v>0.2</v>
      </c>
      <c r="H627" s="591">
        <v>0.9</v>
      </c>
      <c r="I627" s="591">
        <f t="shared" si="48"/>
        <v>3.55</v>
      </c>
      <c r="J627" s="598">
        <f t="shared" si="47"/>
        <v>3.84</v>
      </c>
      <c r="K627" s="592"/>
    </row>
    <row r="628" spans="1:11">
      <c r="A628" s="568"/>
      <c r="B628" s="593" t="s">
        <v>1123</v>
      </c>
      <c r="C628" s="589"/>
      <c r="D628" s="578">
        <v>1</v>
      </c>
      <c r="E628" s="579" t="s">
        <v>8</v>
      </c>
      <c r="F628" s="569">
        <v>1</v>
      </c>
      <c r="G628" s="590">
        <v>0.3</v>
      </c>
      <c r="H628" s="591">
        <v>0.9</v>
      </c>
      <c r="I628" s="591">
        <f t="shared" si="48"/>
        <v>3.55</v>
      </c>
      <c r="J628" s="598">
        <f t="shared" si="47"/>
        <v>0.96</v>
      </c>
      <c r="K628" s="592"/>
    </row>
    <row r="629" spans="1:11">
      <c r="A629" s="568"/>
      <c r="B629" s="593" t="s">
        <v>1124</v>
      </c>
      <c r="C629" s="589"/>
      <c r="D629" s="578">
        <v>1</v>
      </c>
      <c r="E629" s="579" t="s">
        <v>8</v>
      </c>
      <c r="F629" s="569">
        <v>2</v>
      </c>
      <c r="G629" s="590">
        <v>0.23</v>
      </c>
      <c r="H629" s="591">
        <v>0.9</v>
      </c>
      <c r="I629" s="591">
        <f t="shared" si="48"/>
        <v>3.55</v>
      </c>
      <c r="J629" s="598">
        <f t="shared" si="47"/>
        <v>1.47</v>
      </c>
      <c r="K629" s="592"/>
    </row>
    <row r="630" spans="1:11">
      <c r="A630" s="568"/>
      <c r="B630" s="593" t="s">
        <v>1125</v>
      </c>
      <c r="C630" s="589"/>
      <c r="D630" s="578">
        <v>1</v>
      </c>
      <c r="E630" s="579" t="s">
        <v>8</v>
      </c>
      <c r="F630" s="569">
        <v>1</v>
      </c>
      <c r="G630" s="590">
        <v>0.3</v>
      </c>
      <c r="H630" s="591">
        <v>1.1000000000000001</v>
      </c>
      <c r="I630" s="591">
        <f t="shared" si="48"/>
        <v>3.55</v>
      </c>
      <c r="J630" s="598">
        <f t="shared" si="47"/>
        <v>1.18</v>
      </c>
      <c r="K630" s="592"/>
    </row>
    <row r="631" spans="1:11">
      <c r="A631" s="568"/>
      <c r="B631" s="593" t="s">
        <v>1126</v>
      </c>
      <c r="C631" s="589"/>
      <c r="D631" s="578">
        <v>1</v>
      </c>
      <c r="E631" s="579" t="s">
        <v>8</v>
      </c>
      <c r="F631" s="569">
        <v>8</v>
      </c>
      <c r="G631" s="590">
        <v>0.2</v>
      </c>
      <c r="H631" s="591">
        <v>0.5</v>
      </c>
      <c r="I631" s="591">
        <f t="shared" si="48"/>
        <v>3.55</v>
      </c>
      <c r="J631" s="598">
        <f t="shared" si="47"/>
        <v>2.84</v>
      </c>
      <c r="K631" s="592"/>
    </row>
    <row r="632" spans="1:11">
      <c r="A632" s="568"/>
      <c r="B632" s="593" t="s">
        <v>1127</v>
      </c>
      <c r="C632" s="589"/>
      <c r="D632" s="578">
        <v>1</v>
      </c>
      <c r="E632" s="579" t="s">
        <v>8</v>
      </c>
      <c r="F632" s="569">
        <v>4</v>
      </c>
      <c r="G632" s="590">
        <v>0.2</v>
      </c>
      <c r="H632" s="591">
        <v>0.2</v>
      </c>
      <c r="I632" s="591">
        <f t="shared" si="48"/>
        <v>3.55</v>
      </c>
      <c r="J632" s="598">
        <f t="shared" si="47"/>
        <v>0.57000000000000006</v>
      </c>
      <c r="K632" s="592"/>
    </row>
    <row r="633" spans="1:11">
      <c r="A633" s="568"/>
      <c r="B633" s="593" t="s">
        <v>1128</v>
      </c>
      <c r="C633" s="589"/>
      <c r="D633" s="578">
        <v>1</v>
      </c>
      <c r="E633" s="579" t="s">
        <v>8</v>
      </c>
      <c r="F633" s="569">
        <v>1</v>
      </c>
      <c r="G633" s="590">
        <v>0.23</v>
      </c>
      <c r="H633" s="591">
        <v>0.75</v>
      </c>
      <c r="I633" s="591">
        <f t="shared" si="48"/>
        <v>3.55</v>
      </c>
      <c r="J633" s="598">
        <f t="shared" si="47"/>
        <v>0.62</v>
      </c>
      <c r="K633" s="592"/>
    </row>
    <row r="634" spans="1:11">
      <c r="A634" s="568"/>
      <c r="B634" s="581" t="s">
        <v>1421</v>
      </c>
      <c r="C634" s="581"/>
      <c r="G634" s="603"/>
      <c r="H634" s="603"/>
      <c r="I634" s="596"/>
      <c r="J634" s="597"/>
      <c r="K634" s="592"/>
    </row>
    <row r="635" spans="1:11">
      <c r="A635" s="568"/>
      <c r="B635" s="593" t="s">
        <v>1113</v>
      </c>
      <c r="C635" s="599"/>
      <c r="D635" s="578">
        <v>1</v>
      </c>
      <c r="E635" s="579" t="s">
        <v>8</v>
      </c>
      <c r="F635" s="569">
        <v>2</v>
      </c>
      <c r="G635" s="600">
        <v>0.375</v>
      </c>
      <c r="H635" s="600">
        <v>0.375</v>
      </c>
      <c r="I635" s="600">
        <v>3</v>
      </c>
      <c r="J635" s="597">
        <f t="shared" ref="J635:J637" si="49">PRODUCT(D635:I635)</f>
        <v>0.84375</v>
      </c>
      <c r="K635" s="568"/>
    </row>
    <row r="636" spans="1:11">
      <c r="A636" s="568"/>
      <c r="B636" s="593" t="s">
        <v>1114</v>
      </c>
      <c r="C636" s="599"/>
      <c r="D636" s="578">
        <v>1</v>
      </c>
      <c r="E636" s="579" t="s">
        <v>8</v>
      </c>
      <c r="F636" s="569">
        <v>1</v>
      </c>
      <c r="G636" s="600">
        <v>0.3</v>
      </c>
      <c r="H636" s="600">
        <v>0.3</v>
      </c>
      <c r="I636" s="600">
        <v>3</v>
      </c>
      <c r="J636" s="597">
        <f t="shared" si="49"/>
        <v>0.27</v>
      </c>
      <c r="K636" s="568"/>
    </row>
    <row r="637" spans="1:11">
      <c r="A637" s="568"/>
      <c r="B637" s="593" t="s">
        <v>1114</v>
      </c>
      <c r="C637" s="599"/>
      <c r="D637" s="578">
        <v>1</v>
      </c>
      <c r="E637" s="579" t="s">
        <v>8</v>
      </c>
      <c r="F637" s="569">
        <v>2</v>
      </c>
      <c r="G637" s="600">
        <v>0.3</v>
      </c>
      <c r="H637" s="600">
        <v>0.3</v>
      </c>
      <c r="I637" s="600">
        <v>3</v>
      </c>
      <c r="J637" s="597">
        <f t="shared" si="49"/>
        <v>0.54</v>
      </c>
      <c r="K637" s="568"/>
    </row>
    <row r="638" spans="1:11">
      <c r="A638" s="568"/>
      <c r="B638" s="593"/>
      <c r="C638" s="589"/>
      <c r="G638" s="590"/>
      <c r="H638" s="591"/>
      <c r="I638" s="591"/>
      <c r="J638" s="605">
        <f>SUM(J617:J637)</f>
        <v>41.463750000000005</v>
      </c>
      <c r="K638" s="592"/>
    </row>
    <row r="639" spans="1:11">
      <c r="A639" s="568"/>
      <c r="B639" s="593"/>
      <c r="C639" s="589"/>
      <c r="G639" s="590"/>
      <c r="H639" s="591"/>
      <c r="I639" s="591"/>
      <c r="J639" s="605">
        <f>ROUNDUP(J638,0)</f>
        <v>42</v>
      </c>
      <c r="K639" s="592" t="s">
        <v>52</v>
      </c>
    </row>
    <row r="640" spans="1:11">
      <c r="A640" s="568"/>
      <c r="B640" s="584" t="s">
        <v>1372</v>
      </c>
      <c r="C640" s="589"/>
      <c r="G640" s="590"/>
      <c r="H640" s="591"/>
      <c r="I640" s="591"/>
      <c r="J640" s="591"/>
      <c r="K640" s="592"/>
    </row>
    <row r="641" spans="1:11">
      <c r="A641" s="568"/>
      <c r="B641" s="593" t="s">
        <v>616</v>
      </c>
      <c r="C641" s="589"/>
      <c r="G641" s="616"/>
      <c r="H641" s="617"/>
      <c r="I641" s="617"/>
      <c r="J641" s="617"/>
      <c r="K641" s="592"/>
    </row>
    <row r="642" spans="1:11">
      <c r="A642" s="568"/>
      <c r="B642" s="593" t="s">
        <v>1022</v>
      </c>
      <c r="C642" s="589" t="s">
        <v>1130</v>
      </c>
      <c r="D642" s="578">
        <v>1</v>
      </c>
      <c r="E642" s="579" t="s">
        <v>8</v>
      </c>
      <c r="F642" s="569">
        <v>1</v>
      </c>
      <c r="G642" s="590">
        <v>27.9</v>
      </c>
      <c r="H642" s="591">
        <v>0.3</v>
      </c>
      <c r="I642" s="591">
        <v>0.75</v>
      </c>
      <c r="J642" s="591">
        <f t="shared" ref="J642:J687" si="50">PRODUCT(D642:I642)</f>
        <v>6.2774999999999999</v>
      </c>
      <c r="K642" s="568"/>
    </row>
    <row r="643" spans="1:11">
      <c r="A643" s="568"/>
      <c r="B643" s="593" t="s">
        <v>1022</v>
      </c>
      <c r="C643" s="589"/>
      <c r="D643" s="578">
        <v>1</v>
      </c>
      <c r="E643" s="579" t="s">
        <v>8</v>
      </c>
      <c r="F643" s="569">
        <v>1</v>
      </c>
      <c r="G643" s="590">
        <v>5.2750000000000004</v>
      </c>
      <c r="H643" s="591">
        <v>0.2</v>
      </c>
      <c r="I643" s="591">
        <v>0.6</v>
      </c>
      <c r="J643" s="591">
        <f t="shared" si="50"/>
        <v>0.63300000000000012</v>
      </c>
      <c r="K643" s="568"/>
    </row>
    <row r="644" spans="1:11">
      <c r="A644" s="568"/>
      <c r="B644" s="593" t="s">
        <v>1131</v>
      </c>
      <c r="C644" s="589" t="s">
        <v>1132</v>
      </c>
      <c r="D644" s="578">
        <v>1</v>
      </c>
      <c r="E644" s="579" t="s">
        <v>8</v>
      </c>
      <c r="F644" s="569">
        <v>1</v>
      </c>
      <c r="G644" s="590">
        <v>1.8</v>
      </c>
      <c r="H644" s="591">
        <v>0.2</v>
      </c>
      <c r="I644" s="591">
        <v>0.45</v>
      </c>
      <c r="J644" s="591">
        <f t="shared" si="50"/>
        <v>0.16200000000000003</v>
      </c>
      <c r="K644" s="592"/>
    </row>
    <row r="645" spans="1:11">
      <c r="A645" s="568"/>
      <c r="B645" s="593" t="s">
        <v>1131</v>
      </c>
      <c r="C645" s="589" t="s">
        <v>1133</v>
      </c>
      <c r="D645" s="578">
        <v>1</v>
      </c>
      <c r="E645" s="579" t="s">
        <v>8</v>
      </c>
      <c r="F645" s="569">
        <v>1</v>
      </c>
      <c r="G645" s="590">
        <v>3.875</v>
      </c>
      <c r="H645" s="591">
        <v>0.2</v>
      </c>
      <c r="I645" s="591">
        <v>0.45</v>
      </c>
      <c r="J645" s="591">
        <f t="shared" si="50"/>
        <v>0.34875</v>
      </c>
      <c r="K645" s="592"/>
    </row>
    <row r="646" spans="1:11">
      <c r="A646" s="568"/>
      <c r="B646" s="593" t="s">
        <v>1134</v>
      </c>
      <c r="C646" s="589" t="s">
        <v>1135</v>
      </c>
      <c r="D646" s="578">
        <v>1</v>
      </c>
      <c r="E646" s="579" t="s">
        <v>8</v>
      </c>
      <c r="F646" s="569">
        <v>1</v>
      </c>
      <c r="G646" s="590">
        <v>4.2300000000000004</v>
      </c>
      <c r="H646" s="591">
        <v>0.3</v>
      </c>
      <c r="I646" s="591">
        <v>0.75</v>
      </c>
      <c r="J646" s="591">
        <f t="shared" si="50"/>
        <v>0.9517500000000001</v>
      </c>
      <c r="K646" s="568"/>
    </row>
    <row r="647" spans="1:11">
      <c r="A647" s="568"/>
      <c r="B647" s="593" t="s">
        <v>1023</v>
      </c>
      <c r="C647" s="589" t="s">
        <v>1136</v>
      </c>
      <c r="D647" s="578">
        <v>1</v>
      </c>
      <c r="E647" s="579" t="s">
        <v>8</v>
      </c>
      <c r="F647" s="569">
        <v>1</v>
      </c>
      <c r="G647" s="590">
        <v>7.95</v>
      </c>
      <c r="H647" s="591">
        <v>0.3</v>
      </c>
      <c r="I647" s="591">
        <v>0.75</v>
      </c>
      <c r="J647" s="591">
        <f t="shared" si="50"/>
        <v>1.7887499999999998</v>
      </c>
      <c r="K647" s="592"/>
    </row>
    <row r="648" spans="1:11">
      <c r="A648" s="568"/>
      <c r="B648" s="593" t="s">
        <v>1028</v>
      </c>
      <c r="C648" s="589" t="s">
        <v>1137</v>
      </c>
      <c r="D648" s="578">
        <v>1</v>
      </c>
      <c r="E648" s="579" t="s">
        <v>8</v>
      </c>
      <c r="F648" s="569">
        <v>3</v>
      </c>
      <c r="G648" s="590">
        <v>5.0750000000000002</v>
      </c>
      <c r="H648" s="591">
        <v>0.2</v>
      </c>
      <c r="I648" s="591">
        <v>0.6</v>
      </c>
      <c r="J648" s="591">
        <f t="shared" si="50"/>
        <v>1.8270000000000002</v>
      </c>
      <c r="K648" s="592"/>
    </row>
    <row r="649" spans="1:11">
      <c r="A649" s="568"/>
      <c r="B649" s="593"/>
      <c r="C649" s="589" t="s">
        <v>1138</v>
      </c>
      <c r="D649" s="578">
        <v>1</v>
      </c>
      <c r="E649" s="579" t="s">
        <v>8</v>
      </c>
      <c r="F649" s="569">
        <v>6</v>
      </c>
      <c r="G649" s="590">
        <v>1.1000000000000001</v>
      </c>
      <c r="H649" s="591">
        <v>0.2</v>
      </c>
      <c r="I649" s="591">
        <v>0.45</v>
      </c>
      <c r="J649" s="591">
        <f t="shared" si="50"/>
        <v>0.59400000000000019</v>
      </c>
      <c r="K649" s="592"/>
    </row>
    <row r="650" spans="1:11">
      <c r="A650" s="568"/>
      <c r="B650" s="593"/>
      <c r="C650" s="589" t="s">
        <v>1139</v>
      </c>
      <c r="D650" s="578">
        <v>1</v>
      </c>
      <c r="E650" s="579" t="s">
        <v>8</v>
      </c>
      <c r="F650" s="569">
        <v>7</v>
      </c>
      <c r="G650" s="590">
        <v>2.2999999999999998</v>
      </c>
      <c r="H650" s="591">
        <v>0.2</v>
      </c>
      <c r="I650" s="591">
        <v>0.45</v>
      </c>
      <c r="J650" s="591">
        <f t="shared" si="50"/>
        <v>1.4489999999999998</v>
      </c>
      <c r="K650" s="592"/>
    </row>
    <row r="651" spans="1:11">
      <c r="A651" s="568"/>
      <c r="B651" s="593"/>
      <c r="C651" s="589" t="s">
        <v>1140</v>
      </c>
      <c r="D651" s="578">
        <v>1</v>
      </c>
      <c r="E651" s="579" t="s">
        <v>8</v>
      </c>
      <c r="F651" s="569">
        <v>1</v>
      </c>
      <c r="G651" s="590">
        <v>5.3</v>
      </c>
      <c r="H651" s="591">
        <v>0.2</v>
      </c>
      <c r="I651" s="591">
        <v>0.75</v>
      </c>
      <c r="J651" s="591">
        <f t="shared" si="50"/>
        <v>0.79500000000000004</v>
      </c>
      <c r="K651" s="568"/>
    </row>
    <row r="652" spans="1:11">
      <c r="A652" s="568"/>
      <c r="B652" s="593"/>
      <c r="C652" s="589" t="s">
        <v>1141</v>
      </c>
      <c r="D652" s="578">
        <v>1</v>
      </c>
      <c r="E652" s="579" t="s">
        <v>8</v>
      </c>
      <c r="F652" s="569">
        <v>1</v>
      </c>
      <c r="G652" s="590">
        <v>6.2</v>
      </c>
      <c r="H652" s="591">
        <v>0.2</v>
      </c>
      <c r="I652" s="591">
        <v>0.75</v>
      </c>
      <c r="J652" s="591">
        <f t="shared" si="50"/>
        <v>0.93000000000000016</v>
      </c>
      <c r="K652" s="568"/>
    </row>
    <row r="653" spans="1:11">
      <c r="A653" s="568"/>
      <c r="B653" s="593"/>
      <c r="C653" s="589" t="s">
        <v>1142</v>
      </c>
      <c r="D653" s="578">
        <v>1</v>
      </c>
      <c r="E653" s="579" t="s">
        <v>8</v>
      </c>
      <c r="F653" s="569">
        <v>1</v>
      </c>
      <c r="G653" s="590">
        <v>3.2</v>
      </c>
      <c r="H653" s="591">
        <v>0.2</v>
      </c>
      <c r="I653" s="591">
        <v>0.6</v>
      </c>
      <c r="J653" s="591">
        <f t="shared" si="50"/>
        <v>0.38400000000000006</v>
      </c>
      <c r="K653" s="592"/>
    </row>
    <row r="654" spans="1:11">
      <c r="A654" s="568"/>
      <c r="B654" s="593"/>
      <c r="C654" s="589" t="s">
        <v>1142</v>
      </c>
      <c r="D654" s="578">
        <v>1</v>
      </c>
      <c r="E654" s="579" t="s">
        <v>8</v>
      </c>
      <c r="F654" s="569">
        <v>1</v>
      </c>
      <c r="G654" s="590">
        <v>3.2</v>
      </c>
      <c r="H654" s="591">
        <v>0.2</v>
      </c>
      <c r="I654" s="591">
        <v>0.6</v>
      </c>
      <c r="J654" s="591">
        <f t="shared" si="50"/>
        <v>0.38400000000000006</v>
      </c>
      <c r="K654" s="592"/>
    </row>
    <row r="655" spans="1:11">
      <c r="A655" s="568"/>
      <c r="B655" s="593" t="s">
        <v>1030</v>
      </c>
      <c r="C655" s="589" t="s">
        <v>1143</v>
      </c>
      <c r="D655" s="578">
        <v>1</v>
      </c>
      <c r="E655" s="579" t="s">
        <v>8</v>
      </c>
      <c r="F655" s="569">
        <v>1</v>
      </c>
      <c r="G655" s="590">
        <v>20.408999999999999</v>
      </c>
      <c r="H655" s="591">
        <v>0.2</v>
      </c>
      <c r="I655" s="591">
        <v>0.375</v>
      </c>
      <c r="J655" s="591">
        <f t="shared" si="50"/>
        <v>1.530675</v>
      </c>
      <c r="K655" s="592"/>
    </row>
    <row r="656" spans="1:11">
      <c r="A656" s="568"/>
      <c r="B656" s="593" t="s">
        <v>577</v>
      </c>
      <c r="C656" s="589" t="s">
        <v>1144</v>
      </c>
      <c r="D656" s="578">
        <v>1</v>
      </c>
      <c r="E656" s="579" t="s">
        <v>8</v>
      </c>
      <c r="F656" s="569">
        <v>1</v>
      </c>
      <c r="G656" s="590">
        <v>20.408999999999999</v>
      </c>
      <c r="H656" s="591">
        <v>0.2</v>
      </c>
      <c r="I656" s="591">
        <v>0.45</v>
      </c>
      <c r="J656" s="591">
        <f t="shared" si="50"/>
        <v>1.8368100000000003</v>
      </c>
      <c r="K656" s="592"/>
    </row>
    <row r="657" spans="1:11">
      <c r="A657" s="568"/>
      <c r="B657" s="593"/>
      <c r="C657" s="589" t="s">
        <v>1145</v>
      </c>
      <c r="D657" s="578">
        <v>1</v>
      </c>
      <c r="E657" s="579" t="s">
        <v>8</v>
      </c>
      <c r="F657" s="569">
        <v>1</v>
      </c>
      <c r="G657" s="590">
        <v>7.3</v>
      </c>
      <c r="H657" s="591">
        <v>0.2</v>
      </c>
      <c r="I657" s="591">
        <v>0.75</v>
      </c>
      <c r="J657" s="591">
        <f t="shared" si="50"/>
        <v>1.095</v>
      </c>
      <c r="K657" s="592"/>
    </row>
    <row r="658" spans="1:11">
      <c r="A658" s="568"/>
      <c r="B658" s="593" t="s">
        <v>574</v>
      </c>
      <c r="C658" s="589" t="s">
        <v>1146</v>
      </c>
      <c r="D658" s="578">
        <v>1</v>
      </c>
      <c r="E658" s="579" t="s">
        <v>8</v>
      </c>
      <c r="F658" s="569">
        <v>1</v>
      </c>
      <c r="G658" s="590">
        <v>20.408999999999999</v>
      </c>
      <c r="H658" s="591">
        <v>0.2</v>
      </c>
      <c r="I658" s="591">
        <v>0.45</v>
      </c>
      <c r="J658" s="591">
        <f t="shared" si="50"/>
        <v>1.8368100000000003</v>
      </c>
      <c r="K658" s="592"/>
    </row>
    <row r="659" spans="1:11">
      <c r="A659" s="568"/>
      <c r="B659" s="593" t="s">
        <v>491</v>
      </c>
      <c r="C659" s="589" t="s">
        <v>1147</v>
      </c>
      <c r="D659" s="578">
        <v>1</v>
      </c>
      <c r="E659" s="579" t="s">
        <v>8</v>
      </c>
      <c r="F659" s="569">
        <v>1</v>
      </c>
      <c r="G659" s="590">
        <v>1.9</v>
      </c>
      <c r="H659" s="591">
        <v>0.2</v>
      </c>
      <c r="I659" s="591">
        <v>0.45</v>
      </c>
      <c r="J659" s="591">
        <f t="shared" si="50"/>
        <v>0.17100000000000001</v>
      </c>
      <c r="K659" s="592"/>
    </row>
    <row r="660" spans="1:11">
      <c r="A660" s="568"/>
      <c r="B660" s="593"/>
      <c r="C660" s="589" t="s">
        <v>1147</v>
      </c>
      <c r="D660" s="578">
        <v>1</v>
      </c>
      <c r="E660" s="579" t="s">
        <v>8</v>
      </c>
      <c r="F660" s="569">
        <v>1</v>
      </c>
      <c r="G660" s="590">
        <v>6.6</v>
      </c>
      <c r="H660" s="591">
        <v>0.2</v>
      </c>
      <c r="I660" s="591">
        <v>0.6</v>
      </c>
      <c r="J660" s="591">
        <f t="shared" si="50"/>
        <v>0.79200000000000004</v>
      </c>
      <c r="K660" s="592"/>
    </row>
    <row r="661" spans="1:11">
      <c r="A661" s="568"/>
      <c r="B661" s="593" t="s">
        <v>547</v>
      </c>
      <c r="C661" s="589" t="s">
        <v>1148</v>
      </c>
      <c r="D661" s="578">
        <v>1</v>
      </c>
      <c r="E661" s="579" t="s">
        <v>8</v>
      </c>
      <c r="F661" s="569">
        <v>1</v>
      </c>
      <c r="G661" s="590">
        <v>3.7</v>
      </c>
      <c r="H661" s="591">
        <v>0.2</v>
      </c>
      <c r="I661" s="591">
        <v>0.45</v>
      </c>
      <c r="J661" s="591">
        <f t="shared" si="50"/>
        <v>0.33300000000000007</v>
      </c>
      <c r="K661" s="592"/>
    </row>
    <row r="662" spans="1:11">
      <c r="A662" s="568"/>
      <c r="B662" s="593"/>
      <c r="C662" s="589" t="s">
        <v>1149</v>
      </c>
      <c r="D662" s="578">
        <v>1</v>
      </c>
      <c r="E662" s="579" t="s">
        <v>8</v>
      </c>
      <c r="F662" s="569">
        <v>1</v>
      </c>
      <c r="G662" s="590">
        <v>3.7</v>
      </c>
      <c r="H662" s="591">
        <v>0.2</v>
      </c>
      <c r="I662" s="591">
        <v>0.45</v>
      </c>
      <c r="J662" s="591">
        <f t="shared" si="50"/>
        <v>0.33300000000000007</v>
      </c>
      <c r="K662" s="592"/>
    </row>
    <row r="663" spans="1:11">
      <c r="A663" s="568"/>
      <c r="B663" s="593" t="s">
        <v>548</v>
      </c>
      <c r="C663" s="589" t="s">
        <v>1150</v>
      </c>
      <c r="D663" s="578">
        <v>1</v>
      </c>
      <c r="E663" s="579" t="s">
        <v>8</v>
      </c>
      <c r="F663" s="569">
        <v>1</v>
      </c>
      <c r="G663" s="590">
        <v>1.7</v>
      </c>
      <c r="H663" s="591">
        <v>0.2</v>
      </c>
      <c r="I663" s="591">
        <v>0.375</v>
      </c>
      <c r="J663" s="591">
        <f t="shared" si="50"/>
        <v>0.1275</v>
      </c>
      <c r="K663" s="592"/>
    </row>
    <row r="664" spans="1:11">
      <c r="A664" s="568"/>
      <c r="B664" s="593"/>
      <c r="C664" s="589" t="s">
        <v>1150</v>
      </c>
      <c r="D664" s="578">
        <v>1</v>
      </c>
      <c r="E664" s="579" t="s">
        <v>8</v>
      </c>
      <c r="F664" s="569">
        <v>1</v>
      </c>
      <c r="G664" s="590">
        <v>6.8</v>
      </c>
      <c r="H664" s="591">
        <v>0.2</v>
      </c>
      <c r="I664" s="591">
        <v>0.6</v>
      </c>
      <c r="J664" s="591">
        <f t="shared" si="50"/>
        <v>0.81600000000000006</v>
      </c>
      <c r="K664" s="592"/>
    </row>
    <row r="665" spans="1:11">
      <c r="A665" s="568"/>
      <c r="B665" s="593" t="s">
        <v>583</v>
      </c>
      <c r="C665" s="589" t="s">
        <v>1151</v>
      </c>
      <c r="D665" s="578">
        <v>1</v>
      </c>
      <c r="E665" s="579" t="s">
        <v>8</v>
      </c>
      <c r="F665" s="569">
        <v>1</v>
      </c>
      <c r="G665" s="590">
        <v>24.375</v>
      </c>
      <c r="H665" s="591">
        <v>0.2</v>
      </c>
      <c r="I665" s="591">
        <v>0.45</v>
      </c>
      <c r="J665" s="591">
        <f t="shared" si="50"/>
        <v>2.1937500000000001</v>
      </c>
      <c r="K665" s="592"/>
    </row>
    <row r="666" spans="1:11">
      <c r="A666" s="568"/>
      <c r="B666" s="593" t="s">
        <v>583</v>
      </c>
      <c r="C666" s="589" t="s">
        <v>1151</v>
      </c>
      <c r="D666" s="578">
        <v>1</v>
      </c>
      <c r="E666" s="579" t="s">
        <v>8</v>
      </c>
      <c r="F666" s="569">
        <v>1</v>
      </c>
      <c r="G666" s="590">
        <v>8.3000000000000007</v>
      </c>
      <c r="H666" s="591">
        <v>0.2</v>
      </c>
      <c r="I666" s="591">
        <v>0.6</v>
      </c>
      <c r="J666" s="591">
        <f t="shared" si="50"/>
        <v>0.996</v>
      </c>
      <c r="K666" s="592"/>
    </row>
    <row r="667" spans="1:11">
      <c r="A667" s="568"/>
      <c r="B667" s="593" t="s">
        <v>548</v>
      </c>
      <c r="C667" s="589" t="s">
        <v>1152</v>
      </c>
      <c r="D667" s="578">
        <v>1</v>
      </c>
      <c r="E667" s="579" t="s">
        <v>8</v>
      </c>
      <c r="F667" s="569">
        <v>2</v>
      </c>
      <c r="G667" s="590">
        <v>16.675000000000001</v>
      </c>
      <c r="H667" s="591">
        <v>0.2</v>
      </c>
      <c r="I667" s="591">
        <v>0.45</v>
      </c>
      <c r="J667" s="591">
        <f t="shared" si="50"/>
        <v>3.0015000000000005</v>
      </c>
      <c r="K667" s="592"/>
    </row>
    <row r="668" spans="1:11">
      <c r="A668" s="568"/>
      <c r="B668" s="593" t="s">
        <v>617</v>
      </c>
      <c r="C668" s="589"/>
      <c r="G668" s="590"/>
      <c r="H668" s="591"/>
      <c r="I668" s="591"/>
      <c r="J668" s="591"/>
      <c r="K668" s="592"/>
    </row>
    <row r="669" spans="1:11">
      <c r="A669" s="568"/>
      <c r="B669" s="593" t="s">
        <v>1153</v>
      </c>
      <c r="C669" s="589" t="s">
        <v>1154</v>
      </c>
      <c r="D669" s="578">
        <v>1</v>
      </c>
      <c r="E669" s="579" t="s">
        <v>8</v>
      </c>
      <c r="F669" s="569">
        <v>1</v>
      </c>
      <c r="G669" s="590">
        <v>20.399999999999999</v>
      </c>
      <c r="H669" s="591">
        <v>0.2</v>
      </c>
      <c r="I669" s="591">
        <v>0.45</v>
      </c>
      <c r="J669" s="591">
        <f t="shared" si="50"/>
        <v>1.8360000000000001</v>
      </c>
      <c r="K669" s="592"/>
    </row>
    <row r="670" spans="1:11">
      <c r="A670" s="568"/>
      <c r="B670" s="593" t="s">
        <v>1155</v>
      </c>
      <c r="C670" s="589" t="s">
        <v>1156</v>
      </c>
      <c r="D670" s="578">
        <v>1</v>
      </c>
      <c r="E670" s="579" t="s">
        <v>8</v>
      </c>
      <c r="F670" s="569">
        <v>1</v>
      </c>
      <c r="G670" s="590">
        <v>16.841999999999999</v>
      </c>
      <c r="H670" s="591">
        <v>0.2</v>
      </c>
      <c r="I670" s="591">
        <v>0.45</v>
      </c>
      <c r="J670" s="591">
        <f t="shared" si="50"/>
        <v>1.5157799999999999</v>
      </c>
      <c r="K670" s="592"/>
    </row>
    <row r="671" spans="1:11">
      <c r="A671" s="568"/>
      <c r="B671" s="593"/>
      <c r="C671" s="589" t="s">
        <v>1157</v>
      </c>
      <c r="D671" s="578">
        <v>1</v>
      </c>
      <c r="E671" s="579" t="s">
        <v>8</v>
      </c>
      <c r="F671" s="569">
        <v>1</v>
      </c>
      <c r="G671" s="590">
        <v>3.6989999999999998</v>
      </c>
      <c r="H671" s="591">
        <v>0.2</v>
      </c>
      <c r="I671" s="591">
        <v>0.6</v>
      </c>
      <c r="J671" s="591">
        <f t="shared" si="50"/>
        <v>0.44388</v>
      </c>
      <c r="K671" s="592"/>
    </row>
    <row r="672" spans="1:11">
      <c r="A672" s="568"/>
      <c r="B672" s="593"/>
      <c r="C672" s="589" t="s">
        <v>1158</v>
      </c>
      <c r="D672" s="578">
        <v>1</v>
      </c>
      <c r="E672" s="579" t="s">
        <v>8</v>
      </c>
      <c r="F672" s="569">
        <v>1</v>
      </c>
      <c r="G672" s="590">
        <v>16.800999999999998</v>
      </c>
      <c r="H672" s="591">
        <v>0.2</v>
      </c>
      <c r="I672" s="591">
        <v>0.45</v>
      </c>
      <c r="J672" s="591">
        <f t="shared" si="50"/>
        <v>1.5120899999999999</v>
      </c>
      <c r="K672" s="592"/>
    </row>
    <row r="673" spans="1:11">
      <c r="A673" s="568"/>
      <c r="B673" s="593"/>
      <c r="C673" s="589" t="s">
        <v>1159</v>
      </c>
      <c r="D673" s="578">
        <v>1</v>
      </c>
      <c r="E673" s="579" t="s">
        <v>8</v>
      </c>
      <c r="F673" s="569">
        <v>1</v>
      </c>
      <c r="G673" s="590">
        <v>16.800999999999998</v>
      </c>
      <c r="H673" s="591">
        <v>0.2</v>
      </c>
      <c r="I673" s="591">
        <v>0.45</v>
      </c>
      <c r="J673" s="591">
        <f t="shared" si="50"/>
        <v>1.5120899999999999</v>
      </c>
      <c r="K673" s="592"/>
    </row>
    <row r="674" spans="1:11">
      <c r="A674" s="568"/>
      <c r="B674" s="593" t="s">
        <v>1160</v>
      </c>
      <c r="C674" s="589" t="s">
        <v>1161</v>
      </c>
      <c r="D674" s="578">
        <v>1</v>
      </c>
      <c r="E674" s="579" t="s">
        <v>8</v>
      </c>
      <c r="F674" s="569">
        <v>1</v>
      </c>
      <c r="G674" s="590">
        <v>7</v>
      </c>
      <c r="H674" s="591">
        <v>0.23</v>
      </c>
      <c r="I674" s="591">
        <v>0.75</v>
      </c>
      <c r="J674" s="591">
        <f t="shared" si="50"/>
        <v>1.2075</v>
      </c>
      <c r="K674" s="592"/>
    </row>
    <row r="675" spans="1:11">
      <c r="A675" s="568"/>
      <c r="B675" s="593"/>
      <c r="C675" s="589" t="s">
        <v>1161</v>
      </c>
      <c r="D675" s="578">
        <v>1</v>
      </c>
      <c r="E675" s="579" t="s">
        <v>8</v>
      </c>
      <c r="F675" s="569">
        <v>1</v>
      </c>
      <c r="G675" s="590">
        <v>16.800999999999998</v>
      </c>
      <c r="H675" s="591">
        <v>0.2</v>
      </c>
      <c r="I675" s="591">
        <v>0.45</v>
      </c>
      <c r="J675" s="591">
        <f t="shared" si="50"/>
        <v>1.5120899999999999</v>
      </c>
      <c r="K675" s="592"/>
    </row>
    <row r="676" spans="1:11">
      <c r="A676" s="568"/>
      <c r="B676" s="593"/>
      <c r="C676" s="589" t="s">
        <v>1162</v>
      </c>
      <c r="D676" s="578">
        <v>1</v>
      </c>
      <c r="E676" s="579" t="s">
        <v>8</v>
      </c>
      <c r="F676" s="569">
        <v>1</v>
      </c>
      <c r="G676" s="590">
        <v>2.2999999999999998</v>
      </c>
      <c r="H676" s="591">
        <v>0.2</v>
      </c>
      <c r="I676" s="591">
        <v>0.45</v>
      </c>
      <c r="J676" s="591">
        <f t="shared" si="50"/>
        <v>0.20699999999999999</v>
      </c>
      <c r="K676" s="592"/>
    </row>
    <row r="677" spans="1:11">
      <c r="A677" s="568"/>
      <c r="B677" s="593"/>
      <c r="C677" s="589" t="s">
        <v>1163</v>
      </c>
      <c r="D677" s="578">
        <v>1</v>
      </c>
      <c r="E677" s="579" t="s">
        <v>8</v>
      </c>
      <c r="F677" s="569">
        <v>2</v>
      </c>
      <c r="G677" s="590">
        <v>5.6</v>
      </c>
      <c r="H677" s="591">
        <v>0.2</v>
      </c>
      <c r="I677" s="591">
        <v>0.6</v>
      </c>
      <c r="J677" s="591">
        <f t="shared" si="50"/>
        <v>1.3439999999999999</v>
      </c>
      <c r="K677" s="592"/>
    </row>
    <row r="678" spans="1:11">
      <c r="A678" s="568"/>
      <c r="B678" s="593"/>
      <c r="C678" s="589" t="s">
        <v>1163</v>
      </c>
      <c r="D678" s="578">
        <v>1</v>
      </c>
      <c r="E678" s="579" t="s">
        <v>8</v>
      </c>
      <c r="F678" s="569">
        <v>2</v>
      </c>
      <c r="G678" s="590">
        <v>2.1</v>
      </c>
      <c r="H678" s="591">
        <v>0.2</v>
      </c>
      <c r="I678" s="591">
        <v>0.45</v>
      </c>
      <c r="J678" s="591">
        <f t="shared" si="50"/>
        <v>0.37800000000000006</v>
      </c>
      <c r="K678" s="592"/>
    </row>
    <row r="679" spans="1:11">
      <c r="A679" s="568"/>
      <c r="B679" s="593" t="s">
        <v>1164</v>
      </c>
      <c r="C679" s="589" t="s">
        <v>1165</v>
      </c>
      <c r="D679" s="578">
        <v>1</v>
      </c>
      <c r="E679" s="579" t="s">
        <v>8</v>
      </c>
      <c r="F679" s="569">
        <v>5</v>
      </c>
      <c r="G679" s="590">
        <v>6.8</v>
      </c>
      <c r="H679" s="591">
        <v>0.2</v>
      </c>
      <c r="I679" s="591">
        <v>0.6</v>
      </c>
      <c r="J679" s="591">
        <f t="shared" si="50"/>
        <v>4.08</v>
      </c>
      <c r="K679" s="592"/>
    </row>
    <row r="680" spans="1:11">
      <c r="A680" s="568"/>
      <c r="B680" s="593" t="s">
        <v>1164</v>
      </c>
      <c r="C680" s="589" t="s">
        <v>1166</v>
      </c>
      <c r="D680" s="578">
        <v>1</v>
      </c>
      <c r="E680" s="579" t="s">
        <v>8</v>
      </c>
      <c r="F680" s="569">
        <v>5</v>
      </c>
      <c r="G680" s="590">
        <v>1.7</v>
      </c>
      <c r="H680" s="591">
        <v>0.2</v>
      </c>
      <c r="I680" s="591">
        <v>0.45</v>
      </c>
      <c r="J680" s="591">
        <f t="shared" si="50"/>
        <v>0.76500000000000012</v>
      </c>
      <c r="K680" s="592"/>
    </row>
    <row r="681" spans="1:11">
      <c r="A681" s="568"/>
      <c r="B681" s="593"/>
      <c r="C681" s="589" t="s">
        <v>1167</v>
      </c>
      <c r="D681" s="578">
        <v>1</v>
      </c>
      <c r="E681" s="579" t="s">
        <v>8</v>
      </c>
      <c r="F681" s="569">
        <v>3</v>
      </c>
      <c r="G681" s="590">
        <v>5.6</v>
      </c>
      <c r="H681" s="591">
        <v>0.2</v>
      </c>
      <c r="I681" s="591">
        <v>0.6</v>
      </c>
      <c r="J681" s="591">
        <f t="shared" si="50"/>
        <v>2.0159999999999996</v>
      </c>
      <c r="K681" s="592"/>
    </row>
    <row r="682" spans="1:11">
      <c r="A682" s="568"/>
      <c r="B682" s="593" t="s">
        <v>1168</v>
      </c>
      <c r="C682" s="589" t="s">
        <v>1167</v>
      </c>
      <c r="D682" s="578">
        <v>1</v>
      </c>
      <c r="E682" s="579" t="s">
        <v>8</v>
      </c>
      <c r="F682" s="569">
        <v>3</v>
      </c>
      <c r="G682" s="590">
        <f>2.1+5</f>
        <v>7.1</v>
      </c>
      <c r="H682" s="591">
        <v>0.2</v>
      </c>
      <c r="I682" s="591">
        <v>0.45</v>
      </c>
      <c r="J682" s="591">
        <f t="shared" si="50"/>
        <v>1.917</v>
      </c>
      <c r="K682" s="592"/>
    </row>
    <row r="683" spans="1:11">
      <c r="A683" s="568"/>
      <c r="B683" s="593"/>
      <c r="C683" s="589" t="s">
        <v>1169</v>
      </c>
      <c r="D683" s="578">
        <v>1</v>
      </c>
      <c r="E683" s="579" t="s">
        <v>8</v>
      </c>
      <c r="F683" s="569">
        <v>2</v>
      </c>
      <c r="G683" s="590">
        <v>12.28</v>
      </c>
      <c r="H683" s="591">
        <v>0.2</v>
      </c>
      <c r="I683" s="591">
        <v>0.375</v>
      </c>
      <c r="J683" s="591">
        <f t="shared" si="50"/>
        <v>1.8420000000000001</v>
      </c>
      <c r="K683" s="592"/>
    </row>
    <row r="684" spans="1:11">
      <c r="A684" s="568"/>
      <c r="B684" s="593"/>
      <c r="C684" s="589" t="s">
        <v>1170</v>
      </c>
      <c r="D684" s="578">
        <v>1</v>
      </c>
      <c r="E684" s="579" t="s">
        <v>8</v>
      </c>
      <c r="F684" s="569">
        <v>6</v>
      </c>
      <c r="G684" s="590">
        <v>1.7</v>
      </c>
      <c r="H684" s="591">
        <v>0.2</v>
      </c>
      <c r="I684" s="591">
        <v>0.45</v>
      </c>
      <c r="J684" s="591">
        <f t="shared" si="50"/>
        <v>0.91800000000000004</v>
      </c>
      <c r="K684" s="592"/>
    </row>
    <row r="685" spans="1:11">
      <c r="A685" s="568"/>
      <c r="B685" s="593"/>
      <c r="C685" s="589" t="s">
        <v>1171</v>
      </c>
      <c r="D685" s="578">
        <v>1</v>
      </c>
      <c r="E685" s="579" t="s">
        <v>8</v>
      </c>
      <c r="F685" s="569">
        <v>1</v>
      </c>
      <c r="G685" s="590">
        <v>8.2430000000000003</v>
      </c>
      <c r="H685" s="591">
        <v>0.2</v>
      </c>
      <c r="I685" s="591">
        <v>0.45</v>
      </c>
      <c r="J685" s="591">
        <f t="shared" si="50"/>
        <v>0.74187000000000003</v>
      </c>
      <c r="K685" s="592"/>
    </row>
    <row r="686" spans="1:11">
      <c r="A686" s="568"/>
      <c r="B686" s="593"/>
      <c r="C686" s="589" t="s">
        <v>1172</v>
      </c>
      <c r="D686" s="578">
        <v>1</v>
      </c>
      <c r="E686" s="579" t="s">
        <v>8</v>
      </c>
      <c r="F686" s="569">
        <v>1</v>
      </c>
      <c r="G686" s="590">
        <v>8.2430000000000003</v>
      </c>
      <c r="H686" s="591">
        <v>0.2</v>
      </c>
      <c r="I686" s="591">
        <v>0.9</v>
      </c>
      <c r="J686" s="591">
        <f t="shared" si="50"/>
        <v>1.4837400000000001</v>
      </c>
      <c r="K686" s="592"/>
    </row>
    <row r="687" spans="1:11">
      <c r="A687" s="568"/>
      <c r="B687" s="593"/>
      <c r="C687" s="589" t="s">
        <v>1173</v>
      </c>
      <c r="D687" s="578">
        <v>1</v>
      </c>
      <c r="E687" s="579" t="s">
        <v>8</v>
      </c>
      <c r="F687" s="569">
        <v>8</v>
      </c>
      <c r="G687" s="590">
        <v>4.2</v>
      </c>
      <c r="H687" s="591">
        <v>0.3</v>
      </c>
      <c r="I687" s="591">
        <v>0.6</v>
      </c>
      <c r="J687" s="591">
        <f t="shared" si="50"/>
        <v>6.048</v>
      </c>
      <c r="K687" s="592"/>
    </row>
    <row r="688" spans="1:11">
      <c r="A688" s="568"/>
      <c r="B688" s="593" t="s">
        <v>1373</v>
      </c>
      <c r="C688" s="599"/>
      <c r="D688" s="578">
        <v>2</v>
      </c>
      <c r="E688" s="579" t="s">
        <v>8</v>
      </c>
      <c r="F688" s="569">
        <v>1</v>
      </c>
      <c r="G688" s="568">
        <v>12.08</v>
      </c>
      <c r="H688" s="600">
        <v>0.2</v>
      </c>
      <c r="I688" s="600">
        <v>0.45</v>
      </c>
      <c r="J688" s="597">
        <f>PRODUCT(D688:I688)</f>
        <v>2.1744000000000003</v>
      </c>
      <c r="K688" s="592"/>
    </row>
    <row r="689" spans="1:11">
      <c r="A689" s="568"/>
      <c r="B689" s="593" t="s">
        <v>1588</v>
      </c>
      <c r="C689" s="609"/>
      <c r="G689" s="569"/>
      <c r="H689" s="600"/>
      <c r="I689" s="600"/>
      <c r="J689" s="597"/>
      <c r="K689" s="592"/>
    </row>
    <row r="690" spans="1:11">
      <c r="A690" s="568"/>
      <c r="B690" s="593" t="s">
        <v>1112</v>
      </c>
      <c r="C690" s="589"/>
      <c r="D690" s="578">
        <v>-1</v>
      </c>
      <c r="E690" s="579" t="s">
        <v>8</v>
      </c>
      <c r="F690" s="569">
        <v>7</v>
      </c>
      <c r="G690" s="590">
        <v>0.2</v>
      </c>
      <c r="H690" s="591">
        <v>1.2</v>
      </c>
      <c r="I690" s="591">
        <v>0.53600000000000003</v>
      </c>
      <c r="J690" s="598">
        <f t="shared" ref="J690:J706" si="51">ROUNDUP(PRODUCT(D690:I690),2)</f>
        <v>-0.91</v>
      </c>
      <c r="K690" s="568" t="s">
        <v>1589</v>
      </c>
    </row>
    <row r="691" spans="1:11">
      <c r="A691" s="568"/>
      <c r="B691" s="593" t="s">
        <v>1113</v>
      </c>
      <c r="C691" s="589"/>
      <c r="D691" s="578">
        <v>-1</v>
      </c>
      <c r="E691" s="579" t="s">
        <v>8</v>
      </c>
      <c r="F691" s="569">
        <v>2</v>
      </c>
      <c r="G691" s="590">
        <v>0.2</v>
      </c>
      <c r="H691" s="591">
        <v>1.2</v>
      </c>
      <c r="I691" s="591">
        <v>0.53600000000000003</v>
      </c>
      <c r="J691" s="598">
        <f t="shared" si="51"/>
        <v>-0.26</v>
      </c>
      <c r="K691" s="568" t="s">
        <v>1589</v>
      </c>
    </row>
    <row r="692" spans="1:11">
      <c r="A692" s="568"/>
      <c r="B692" s="593" t="s">
        <v>1114</v>
      </c>
      <c r="C692" s="589"/>
      <c r="D692" s="578">
        <v>-1</v>
      </c>
      <c r="E692" s="579" t="s">
        <v>8</v>
      </c>
      <c r="F692" s="569">
        <v>4</v>
      </c>
      <c r="G692" s="590">
        <v>0.2</v>
      </c>
      <c r="H692" s="591">
        <v>1</v>
      </c>
      <c r="I692" s="591">
        <v>0.53600000000000003</v>
      </c>
      <c r="J692" s="598">
        <f t="shared" si="51"/>
        <v>-0.43</v>
      </c>
      <c r="K692" s="568" t="s">
        <v>1589</v>
      </c>
    </row>
    <row r="693" spans="1:11">
      <c r="A693" s="568"/>
      <c r="B693" s="593" t="s">
        <v>1115</v>
      </c>
      <c r="C693" s="589"/>
      <c r="D693" s="578">
        <v>-1</v>
      </c>
      <c r="E693" s="579" t="s">
        <v>8</v>
      </c>
      <c r="F693" s="569">
        <v>2</v>
      </c>
      <c r="G693" s="590">
        <v>0.2</v>
      </c>
      <c r="H693" s="591">
        <v>1</v>
      </c>
      <c r="I693" s="591">
        <v>0.53600000000000003</v>
      </c>
      <c r="J693" s="598">
        <f t="shared" si="51"/>
        <v>-0.22</v>
      </c>
      <c r="K693" s="568" t="s">
        <v>1589</v>
      </c>
    </row>
    <row r="694" spans="1:11">
      <c r="A694" s="568"/>
      <c r="B694" s="593" t="s">
        <v>1116</v>
      </c>
      <c r="C694" s="589"/>
      <c r="D694" s="578">
        <v>-1</v>
      </c>
      <c r="E694" s="579" t="s">
        <v>8</v>
      </c>
      <c r="F694" s="569">
        <f>4+5</f>
        <v>9</v>
      </c>
      <c r="G694" s="590">
        <v>0.2</v>
      </c>
      <c r="H694" s="591">
        <v>0.9</v>
      </c>
      <c r="I694" s="591">
        <v>0.53600000000000003</v>
      </c>
      <c r="J694" s="598">
        <f t="shared" si="51"/>
        <v>-0.87</v>
      </c>
      <c r="K694" s="568" t="s">
        <v>1589</v>
      </c>
    </row>
    <row r="695" spans="1:11">
      <c r="A695" s="568"/>
      <c r="B695" s="593" t="s">
        <v>1117</v>
      </c>
      <c r="C695" s="589"/>
      <c r="D695" s="578">
        <v>-1</v>
      </c>
      <c r="E695" s="579" t="s">
        <v>8</v>
      </c>
      <c r="F695" s="569">
        <v>3</v>
      </c>
      <c r="G695" s="590">
        <v>0.2</v>
      </c>
      <c r="H695" s="591">
        <v>0.9</v>
      </c>
      <c r="I695" s="591">
        <v>0.53600000000000003</v>
      </c>
      <c r="J695" s="598">
        <f t="shared" si="51"/>
        <v>-0.29000000000000004</v>
      </c>
      <c r="K695" s="568" t="s">
        <v>1589</v>
      </c>
    </row>
    <row r="696" spans="1:11">
      <c r="A696" s="568"/>
      <c r="B696" s="593" t="s">
        <v>1118</v>
      </c>
      <c r="C696" s="589"/>
      <c r="D696" s="578">
        <v>-1</v>
      </c>
      <c r="E696" s="579" t="s">
        <v>8</v>
      </c>
      <c r="F696" s="569">
        <f>3+2</f>
        <v>5</v>
      </c>
      <c r="G696" s="590">
        <v>0.2</v>
      </c>
      <c r="H696" s="591">
        <v>0.8</v>
      </c>
      <c r="I696" s="591">
        <v>0.53600000000000003</v>
      </c>
      <c r="J696" s="598">
        <f t="shared" si="51"/>
        <v>-0.43</v>
      </c>
      <c r="K696" s="568" t="s">
        <v>1589</v>
      </c>
    </row>
    <row r="697" spans="1:11">
      <c r="A697" s="568"/>
      <c r="B697" s="593" t="s">
        <v>1119</v>
      </c>
      <c r="C697" s="589"/>
      <c r="D697" s="578">
        <v>-1</v>
      </c>
      <c r="E697" s="579" t="s">
        <v>8</v>
      </c>
      <c r="F697" s="569">
        <v>7</v>
      </c>
      <c r="G697" s="590">
        <v>0.2</v>
      </c>
      <c r="H697" s="591">
        <v>0.75</v>
      </c>
      <c r="I697" s="591">
        <v>0.53600000000000003</v>
      </c>
      <c r="J697" s="598">
        <f t="shared" si="51"/>
        <v>-0.57000000000000006</v>
      </c>
      <c r="K697" s="568" t="s">
        <v>1589</v>
      </c>
    </row>
    <row r="698" spans="1:11">
      <c r="A698" s="568"/>
      <c r="B698" s="593" t="s">
        <v>1120</v>
      </c>
      <c r="C698" s="589"/>
      <c r="D698" s="578">
        <v>-1</v>
      </c>
      <c r="E698" s="579" t="s">
        <v>8</v>
      </c>
      <c r="F698" s="569">
        <f>2</f>
        <v>2</v>
      </c>
      <c r="G698" s="590">
        <v>0.2</v>
      </c>
      <c r="H698" s="591">
        <v>0.6</v>
      </c>
      <c r="I698" s="591">
        <v>0.53600000000000003</v>
      </c>
      <c r="J698" s="598">
        <f t="shared" si="51"/>
        <v>-0.13</v>
      </c>
      <c r="K698" s="568" t="s">
        <v>1589</v>
      </c>
    </row>
    <row r="699" spans="1:11">
      <c r="A699" s="568"/>
      <c r="B699" s="593" t="s">
        <v>1121</v>
      </c>
      <c r="C699" s="589"/>
      <c r="D699" s="578">
        <v>-1</v>
      </c>
      <c r="E699" s="579" t="s">
        <v>8</v>
      </c>
      <c r="F699" s="569">
        <v>3</v>
      </c>
      <c r="G699" s="590">
        <v>0.2</v>
      </c>
      <c r="H699" s="591">
        <v>0.6</v>
      </c>
      <c r="I699" s="591">
        <v>0.53600000000000003</v>
      </c>
      <c r="J699" s="598">
        <f t="shared" si="51"/>
        <v>-0.2</v>
      </c>
      <c r="K699" s="568" t="s">
        <v>1589</v>
      </c>
    </row>
    <row r="700" spans="1:11">
      <c r="A700" s="568"/>
      <c r="B700" s="593" t="s">
        <v>1122</v>
      </c>
      <c r="C700" s="589"/>
      <c r="D700" s="578">
        <v>-1</v>
      </c>
      <c r="E700" s="579" t="s">
        <v>8</v>
      </c>
      <c r="F700" s="569">
        <v>6</v>
      </c>
      <c r="G700" s="590">
        <v>0.2</v>
      </c>
      <c r="H700" s="591">
        <v>0.9</v>
      </c>
      <c r="I700" s="591">
        <v>0.53600000000000003</v>
      </c>
      <c r="J700" s="598">
        <f t="shared" si="51"/>
        <v>-0.57999999999999996</v>
      </c>
      <c r="K700" s="568" t="s">
        <v>1589</v>
      </c>
    </row>
    <row r="701" spans="1:11">
      <c r="A701" s="568"/>
      <c r="B701" s="593" t="s">
        <v>1123</v>
      </c>
      <c r="C701" s="589"/>
      <c r="D701" s="578">
        <v>-1</v>
      </c>
      <c r="E701" s="579" t="s">
        <v>8</v>
      </c>
      <c r="F701" s="569">
        <v>1</v>
      </c>
      <c r="G701" s="590">
        <v>0.3</v>
      </c>
      <c r="H701" s="591">
        <v>0.9</v>
      </c>
      <c r="I701" s="591">
        <v>0.53600000000000003</v>
      </c>
      <c r="J701" s="598">
        <f t="shared" si="51"/>
        <v>-0.15000000000000002</v>
      </c>
      <c r="K701" s="568" t="s">
        <v>1589</v>
      </c>
    </row>
    <row r="702" spans="1:11">
      <c r="A702" s="568"/>
      <c r="B702" s="593" t="s">
        <v>1124</v>
      </c>
      <c r="C702" s="589"/>
      <c r="D702" s="578">
        <v>-1</v>
      </c>
      <c r="E702" s="579" t="s">
        <v>8</v>
      </c>
      <c r="F702" s="569">
        <v>2</v>
      </c>
      <c r="G702" s="590">
        <v>0.23</v>
      </c>
      <c r="H702" s="591">
        <v>0.9</v>
      </c>
      <c r="I702" s="591">
        <v>0.53600000000000003</v>
      </c>
      <c r="J702" s="598">
        <f t="shared" si="51"/>
        <v>-0.23</v>
      </c>
      <c r="K702" s="568" t="s">
        <v>1589</v>
      </c>
    </row>
    <row r="703" spans="1:11">
      <c r="A703" s="568"/>
      <c r="B703" s="593" t="s">
        <v>1125</v>
      </c>
      <c r="C703" s="589"/>
      <c r="D703" s="578">
        <v>-1</v>
      </c>
      <c r="E703" s="579" t="s">
        <v>8</v>
      </c>
      <c r="F703" s="569">
        <v>1</v>
      </c>
      <c r="G703" s="590">
        <v>0.3</v>
      </c>
      <c r="H703" s="591">
        <v>1.1000000000000001</v>
      </c>
      <c r="I703" s="591">
        <v>0.53600000000000003</v>
      </c>
      <c r="J703" s="598">
        <f t="shared" si="51"/>
        <v>-0.18000000000000002</v>
      </c>
      <c r="K703" s="568" t="s">
        <v>1589</v>
      </c>
    </row>
    <row r="704" spans="1:11">
      <c r="A704" s="568"/>
      <c r="B704" s="593" t="s">
        <v>1126</v>
      </c>
      <c r="C704" s="589"/>
      <c r="D704" s="578">
        <v>-1</v>
      </c>
      <c r="E704" s="579" t="s">
        <v>8</v>
      </c>
      <c r="F704" s="569">
        <v>8</v>
      </c>
      <c r="G704" s="590">
        <v>0.2</v>
      </c>
      <c r="H704" s="591">
        <v>0.5</v>
      </c>
      <c r="I704" s="591">
        <v>0.53600000000000003</v>
      </c>
      <c r="J704" s="598">
        <f t="shared" si="51"/>
        <v>-0.43</v>
      </c>
      <c r="K704" s="568" t="s">
        <v>1589</v>
      </c>
    </row>
    <row r="705" spans="1:11">
      <c r="A705" s="568"/>
      <c r="B705" s="593" t="s">
        <v>1127</v>
      </c>
      <c r="C705" s="589"/>
      <c r="D705" s="578">
        <v>-1</v>
      </c>
      <c r="E705" s="579" t="s">
        <v>8</v>
      </c>
      <c r="F705" s="569">
        <v>4</v>
      </c>
      <c r="G705" s="590">
        <v>0.2</v>
      </c>
      <c r="H705" s="591">
        <v>0.2</v>
      </c>
      <c r="I705" s="591">
        <v>0.53600000000000003</v>
      </c>
      <c r="J705" s="598">
        <f t="shared" si="51"/>
        <v>-0.09</v>
      </c>
      <c r="K705" s="568" t="s">
        <v>1589</v>
      </c>
    </row>
    <row r="706" spans="1:11">
      <c r="A706" s="568"/>
      <c r="B706" s="593" t="s">
        <v>1128</v>
      </c>
      <c r="C706" s="589"/>
      <c r="D706" s="578">
        <v>-1</v>
      </c>
      <c r="E706" s="579" t="s">
        <v>8</v>
      </c>
      <c r="F706" s="569">
        <v>1</v>
      </c>
      <c r="G706" s="590">
        <v>0.23</v>
      </c>
      <c r="H706" s="591">
        <v>0.75</v>
      </c>
      <c r="I706" s="591">
        <v>0.53600000000000003</v>
      </c>
      <c r="J706" s="598">
        <f t="shared" si="51"/>
        <v>-9.9999999999999992E-2</v>
      </c>
      <c r="K706" s="568" t="s">
        <v>1589</v>
      </c>
    </row>
    <row r="707" spans="1:11">
      <c r="A707" s="568"/>
      <c r="B707" s="593"/>
      <c r="C707" s="589"/>
      <c r="G707" s="590"/>
      <c r="H707" s="591"/>
      <c r="I707" s="591"/>
      <c r="J707" s="605">
        <f>SUM(J642:J706)</f>
        <v>58.972234999999998</v>
      </c>
      <c r="K707" s="592"/>
    </row>
    <row r="708" spans="1:11">
      <c r="A708" s="568"/>
      <c r="B708" s="593"/>
      <c r="C708" s="589"/>
      <c r="G708" s="590"/>
      <c r="H708" s="591"/>
      <c r="I708" s="591"/>
      <c r="J708" s="605">
        <f>ROUNDUP(J707,0)</f>
        <v>59</v>
      </c>
      <c r="K708" s="592" t="s">
        <v>52</v>
      </c>
    </row>
    <row r="709" spans="1:11">
      <c r="A709" s="568"/>
      <c r="B709" s="584" t="s">
        <v>499</v>
      </c>
      <c r="C709" s="589"/>
      <c r="G709" s="590"/>
      <c r="H709" s="591"/>
      <c r="I709" s="591"/>
      <c r="J709" s="591"/>
      <c r="K709" s="592"/>
    </row>
    <row r="710" spans="1:11">
      <c r="A710" s="568"/>
      <c r="B710" s="593" t="s">
        <v>1174</v>
      </c>
      <c r="C710" s="589"/>
      <c r="D710" s="578">
        <v>1</v>
      </c>
      <c r="E710" s="579" t="s">
        <v>8</v>
      </c>
      <c r="F710" s="569">
        <v>1</v>
      </c>
      <c r="G710" s="590">
        <v>3.5</v>
      </c>
      <c r="H710" s="591">
        <v>3.2</v>
      </c>
      <c r="I710" s="591">
        <v>0.125</v>
      </c>
      <c r="J710" s="591">
        <f t="shared" ref="J710:J721" si="52">PRODUCT(D710:I710)</f>
        <v>1.4000000000000001</v>
      </c>
      <c r="K710" s="592"/>
    </row>
    <row r="711" spans="1:11">
      <c r="A711" s="568"/>
      <c r="B711" s="593" t="s">
        <v>1175</v>
      </c>
      <c r="C711" s="589"/>
      <c r="D711" s="578">
        <v>1</v>
      </c>
      <c r="E711" s="579" t="s">
        <v>8</v>
      </c>
      <c r="F711" s="569">
        <v>1</v>
      </c>
      <c r="G711" s="590">
        <v>4</v>
      </c>
      <c r="H711" s="591">
        <v>3.2</v>
      </c>
      <c r="I711" s="591">
        <v>0.125</v>
      </c>
      <c r="J711" s="591">
        <f t="shared" si="52"/>
        <v>1.6</v>
      </c>
      <c r="K711" s="592"/>
    </row>
    <row r="712" spans="1:11">
      <c r="A712" s="568"/>
      <c r="B712" s="593" t="s">
        <v>1176</v>
      </c>
      <c r="C712" s="589" t="s">
        <v>1177</v>
      </c>
      <c r="D712" s="578">
        <v>1</v>
      </c>
      <c r="E712" s="579" t="s">
        <v>8</v>
      </c>
      <c r="F712" s="569">
        <v>5</v>
      </c>
      <c r="G712" s="590">
        <v>3.77</v>
      </c>
      <c r="H712" s="591">
        <v>6.8</v>
      </c>
      <c r="I712" s="591">
        <v>0.13</v>
      </c>
      <c r="J712" s="591">
        <f t="shared" si="52"/>
        <v>16.663400000000003</v>
      </c>
      <c r="K712" s="592"/>
    </row>
    <row r="713" spans="1:11">
      <c r="A713" s="568"/>
      <c r="B713" s="593" t="s">
        <v>1178</v>
      </c>
      <c r="C713" s="589"/>
      <c r="D713" s="578">
        <v>1</v>
      </c>
      <c r="E713" s="579" t="s">
        <v>8</v>
      </c>
      <c r="F713" s="569">
        <v>1</v>
      </c>
      <c r="G713" s="590">
        <v>3.875</v>
      </c>
      <c r="H713" s="591">
        <v>7.8</v>
      </c>
      <c r="I713" s="591">
        <v>0.125</v>
      </c>
      <c r="J713" s="591">
        <f t="shared" si="52"/>
        <v>3.7781249999999997</v>
      </c>
      <c r="K713" s="592"/>
    </row>
    <row r="714" spans="1:11">
      <c r="A714" s="568"/>
      <c r="B714" s="593" t="s">
        <v>1179</v>
      </c>
      <c r="C714" s="589"/>
      <c r="D714" s="578">
        <v>1</v>
      </c>
      <c r="E714" s="579" t="s">
        <v>8</v>
      </c>
      <c r="F714" s="569">
        <v>1</v>
      </c>
      <c r="G714" s="590">
        <v>1.4</v>
      </c>
      <c r="H714" s="591">
        <v>7.8</v>
      </c>
      <c r="I714" s="591">
        <v>0.125</v>
      </c>
      <c r="J714" s="591">
        <f t="shared" si="52"/>
        <v>1.365</v>
      </c>
      <c r="K714" s="592"/>
    </row>
    <row r="715" spans="1:11">
      <c r="A715" s="568"/>
      <c r="B715" s="593" t="s">
        <v>1180</v>
      </c>
      <c r="C715" s="589"/>
      <c r="D715" s="578">
        <v>1</v>
      </c>
      <c r="E715" s="579" t="s">
        <v>8</v>
      </c>
      <c r="F715" s="569">
        <v>1</v>
      </c>
      <c r="G715" s="590">
        <v>7.5</v>
      </c>
      <c r="H715" s="591">
        <v>16.3</v>
      </c>
      <c r="I715" s="591">
        <v>0.125</v>
      </c>
      <c r="J715" s="591">
        <f t="shared" si="52"/>
        <v>15.28125</v>
      </c>
      <c r="K715" s="592"/>
    </row>
    <row r="716" spans="1:11">
      <c r="A716" s="568"/>
      <c r="B716" s="593" t="s">
        <v>1181</v>
      </c>
      <c r="C716" s="589"/>
      <c r="D716" s="578">
        <v>1</v>
      </c>
      <c r="E716" s="579" t="s">
        <v>8</v>
      </c>
      <c r="F716" s="569">
        <v>1</v>
      </c>
      <c r="G716" s="590">
        <v>19.8</v>
      </c>
      <c r="H716" s="591">
        <v>1.5</v>
      </c>
      <c r="I716" s="591">
        <v>0.125</v>
      </c>
      <c r="J716" s="591">
        <f t="shared" si="52"/>
        <v>3.7125000000000004</v>
      </c>
      <c r="K716" s="592"/>
    </row>
    <row r="717" spans="1:11">
      <c r="A717" s="568"/>
      <c r="B717" s="593" t="s">
        <v>1182</v>
      </c>
      <c r="C717" s="589"/>
      <c r="D717" s="578">
        <v>1</v>
      </c>
      <c r="E717" s="579" t="s">
        <v>8</v>
      </c>
      <c r="F717" s="569">
        <v>1</v>
      </c>
      <c r="G717" s="590">
        <v>3.3</v>
      </c>
      <c r="H717" s="591">
        <v>1.9</v>
      </c>
      <c r="I717" s="591">
        <v>0.125</v>
      </c>
      <c r="J717" s="591">
        <f t="shared" si="52"/>
        <v>0.78374999999999995</v>
      </c>
      <c r="K717" s="592"/>
    </row>
    <row r="718" spans="1:11">
      <c r="A718" s="568"/>
      <c r="B718" s="593" t="s">
        <v>1183</v>
      </c>
      <c r="C718" s="589"/>
      <c r="D718" s="578">
        <v>1</v>
      </c>
      <c r="E718" s="579" t="s">
        <v>8</v>
      </c>
      <c r="F718" s="569">
        <v>1</v>
      </c>
      <c r="G718" s="590">
        <v>3.3</v>
      </c>
      <c r="H718" s="591">
        <v>1.9</v>
      </c>
      <c r="I718" s="591">
        <v>0.125</v>
      </c>
      <c r="J718" s="591">
        <f t="shared" si="52"/>
        <v>0.78374999999999995</v>
      </c>
      <c r="K718" s="592"/>
    </row>
    <row r="719" spans="1:11">
      <c r="A719" s="568"/>
      <c r="B719" s="593" t="s">
        <v>1184</v>
      </c>
      <c r="C719" s="589"/>
      <c r="D719" s="578">
        <v>1</v>
      </c>
      <c r="E719" s="579" t="s">
        <v>8</v>
      </c>
      <c r="F719" s="569">
        <v>1</v>
      </c>
      <c r="G719" s="590">
        <v>1.5</v>
      </c>
      <c r="H719" s="591">
        <v>11.5</v>
      </c>
      <c r="I719" s="591">
        <v>0.125</v>
      </c>
      <c r="J719" s="591">
        <f t="shared" si="52"/>
        <v>2.15625</v>
      </c>
      <c r="K719" s="592"/>
    </row>
    <row r="720" spans="1:11">
      <c r="A720" s="568"/>
      <c r="B720" s="593" t="s">
        <v>1185</v>
      </c>
      <c r="C720" s="589"/>
      <c r="D720" s="578">
        <v>1</v>
      </c>
      <c r="E720" s="579" t="s">
        <v>8</v>
      </c>
      <c r="F720" s="569">
        <v>1</v>
      </c>
      <c r="G720" s="590">
        <v>6.4</v>
      </c>
      <c r="H720" s="591">
        <v>11.8</v>
      </c>
      <c r="I720" s="591">
        <v>0.13</v>
      </c>
      <c r="J720" s="591">
        <f t="shared" si="52"/>
        <v>9.8176000000000023</v>
      </c>
      <c r="K720" s="592"/>
    </row>
    <row r="721" spans="1:11">
      <c r="A721" s="568"/>
      <c r="B721" s="593" t="s">
        <v>1186</v>
      </c>
      <c r="C721" s="589"/>
      <c r="D721" s="578">
        <v>1</v>
      </c>
      <c r="E721" s="579" t="s">
        <v>8</v>
      </c>
      <c r="F721" s="569">
        <v>1</v>
      </c>
      <c r="G721" s="590">
        <v>16.274999999999999</v>
      </c>
      <c r="H721" s="591">
        <v>4</v>
      </c>
      <c r="I721" s="591">
        <v>0.125</v>
      </c>
      <c r="J721" s="591">
        <f t="shared" si="52"/>
        <v>8.1374999999999993</v>
      </c>
      <c r="K721" s="592"/>
    </row>
    <row r="722" spans="1:11">
      <c r="A722" s="568"/>
      <c r="B722" s="581" t="s">
        <v>1421</v>
      </c>
      <c r="C722" s="581"/>
      <c r="G722" s="603"/>
      <c r="H722" s="603"/>
      <c r="I722" s="596"/>
      <c r="J722" s="597"/>
      <c r="K722" s="592"/>
    </row>
    <row r="723" spans="1:11">
      <c r="A723" s="568"/>
      <c r="B723" s="593" t="s">
        <v>516</v>
      </c>
      <c r="C723" s="599"/>
      <c r="D723" s="578">
        <v>1</v>
      </c>
      <c r="E723" s="579" t="s">
        <v>8</v>
      </c>
      <c r="F723" s="569">
        <v>1</v>
      </c>
      <c r="G723" s="619">
        <v>4</v>
      </c>
      <c r="H723" s="604"/>
      <c r="I723" s="600">
        <v>0.125</v>
      </c>
      <c r="J723" s="597">
        <f>PRODUCT(D723:I723)</f>
        <v>0.5</v>
      </c>
      <c r="K723" s="568"/>
    </row>
    <row r="724" spans="1:11">
      <c r="A724" s="568"/>
      <c r="B724" s="593" t="s">
        <v>516</v>
      </c>
      <c r="C724" s="599"/>
      <c r="D724" s="578">
        <v>1</v>
      </c>
      <c r="E724" s="579" t="s">
        <v>8</v>
      </c>
      <c r="F724" s="569">
        <v>1</v>
      </c>
      <c r="G724" s="619">
        <v>6.86</v>
      </c>
      <c r="H724" s="604"/>
      <c r="I724" s="600">
        <v>0.125</v>
      </c>
      <c r="J724" s="597">
        <f>PRODUCT(D724:I724)</f>
        <v>0.85750000000000004</v>
      </c>
      <c r="K724" s="568"/>
    </row>
    <row r="725" spans="1:11">
      <c r="A725" s="568"/>
      <c r="B725" s="593"/>
      <c r="C725" s="589"/>
      <c r="G725" s="590"/>
      <c r="H725" s="591"/>
      <c r="I725" s="591"/>
      <c r="J725" s="605">
        <f>SUM(J710:J724)</f>
        <v>66.836624999999998</v>
      </c>
      <c r="K725" s="592"/>
    </row>
    <row r="726" spans="1:11">
      <c r="A726" s="568"/>
      <c r="B726" s="593"/>
      <c r="C726" s="589"/>
      <c r="G726" s="590"/>
      <c r="H726" s="591"/>
      <c r="I726" s="591"/>
      <c r="J726" s="605">
        <f>ROUNDUP(J725,0)</f>
        <v>67</v>
      </c>
      <c r="K726" s="592" t="s">
        <v>52</v>
      </c>
    </row>
    <row r="727" spans="1:11">
      <c r="A727" s="568"/>
      <c r="B727" s="584" t="s">
        <v>614</v>
      </c>
      <c r="C727" s="589"/>
      <c r="G727" s="590"/>
      <c r="H727" s="591"/>
      <c r="I727" s="591"/>
      <c r="J727" s="591"/>
      <c r="K727" s="592"/>
    </row>
    <row r="728" spans="1:11">
      <c r="A728" s="568"/>
      <c r="B728" s="593" t="s">
        <v>1187</v>
      </c>
      <c r="C728" s="589"/>
      <c r="D728" s="578">
        <v>1</v>
      </c>
      <c r="E728" s="579" t="s">
        <v>8</v>
      </c>
      <c r="F728" s="569">
        <v>1</v>
      </c>
      <c r="G728" s="590">
        <v>4.5</v>
      </c>
      <c r="H728" s="591">
        <v>1.5</v>
      </c>
      <c r="I728" s="591">
        <v>0.125</v>
      </c>
      <c r="J728" s="591">
        <f>PRODUCT(D728:I728)</f>
        <v>0.84375</v>
      </c>
      <c r="K728" s="592"/>
    </row>
    <row r="729" spans="1:11">
      <c r="A729" s="568"/>
      <c r="B729" s="593" t="s">
        <v>1188</v>
      </c>
      <c r="C729" s="589"/>
      <c r="D729" s="578">
        <v>1</v>
      </c>
      <c r="E729" s="579" t="s">
        <v>8</v>
      </c>
      <c r="F729" s="569">
        <v>1</v>
      </c>
      <c r="G729" s="590">
        <v>3.7</v>
      </c>
      <c r="H729" s="591">
        <v>1.5</v>
      </c>
      <c r="I729" s="591">
        <v>0.125</v>
      </c>
      <c r="J729" s="591">
        <f t="shared" ref="J729:J732" si="53">PRODUCT(D729:I729)</f>
        <v>0.69375000000000009</v>
      </c>
      <c r="K729" s="592"/>
    </row>
    <row r="730" spans="1:11">
      <c r="A730" s="568"/>
      <c r="B730" s="593" t="s">
        <v>502</v>
      </c>
      <c r="C730" s="589"/>
      <c r="D730" s="578">
        <v>1</v>
      </c>
      <c r="E730" s="579" t="s">
        <v>8</v>
      </c>
      <c r="F730" s="569">
        <v>1</v>
      </c>
      <c r="G730" s="725">
        <f>(5403232/1000000)</f>
        <v>5.403232</v>
      </c>
      <c r="H730" s="726"/>
      <c r="I730" s="591">
        <v>0.125</v>
      </c>
      <c r="J730" s="591">
        <f t="shared" si="53"/>
        <v>0.675404</v>
      </c>
      <c r="K730" s="592"/>
    </row>
    <row r="731" spans="1:11">
      <c r="A731" s="568"/>
      <c r="B731" s="593" t="s">
        <v>501</v>
      </c>
      <c r="C731" s="589"/>
      <c r="D731" s="578">
        <v>1</v>
      </c>
      <c r="E731" s="579" t="s">
        <v>8</v>
      </c>
      <c r="F731" s="569">
        <v>1</v>
      </c>
      <c r="G731" s="590">
        <v>3.3</v>
      </c>
      <c r="H731" s="591">
        <v>0.2</v>
      </c>
      <c r="I731" s="591">
        <v>0.6</v>
      </c>
      <c r="J731" s="591">
        <f t="shared" si="53"/>
        <v>0.39600000000000002</v>
      </c>
      <c r="K731" s="592"/>
    </row>
    <row r="732" spans="1:11">
      <c r="A732" s="568"/>
      <c r="B732" s="593" t="s">
        <v>500</v>
      </c>
      <c r="C732" s="589"/>
      <c r="D732" s="578">
        <v>0.5</v>
      </c>
      <c r="E732" s="579" t="s">
        <v>8</v>
      </c>
      <c r="F732" s="569">
        <v>22</v>
      </c>
      <c r="G732" s="590">
        <v>1.5</v>
      </c>
      <c r="H732" s="591">
        <v>0.3</v>
      </c>
      <c r="I732" s="591">
        <v>0.15</v>
      </c>
      <c r="J732" s="591">
        <f t="shared" si="53"/>
        <v>0.74250000000000005</v>
      </c>
      <c r="K732" s="592"/>
    </row>
    <row r="733" spans="1:11">
      <c r="A733" s="568"/>
      <c r="B733" s="584" t="s">
        <v>615</v>
      </c>
      <c r="C733" s="589"/>
      <c r="G733" s="590"/>
      <c r="H733" s="591"/>
      <c r="I733" s="591"/>
      <c r="J733" s="591"/>
      <c r="K733" s="592"/>
    </row>
    <row r="734" spans="1:11">
      <c r="A734" s="568"/>
      <c r="B734" s="593" t="s">
        <v>1187</v>
      </c>
      <c r="C734" s="589"/>
      <c r="D734" s="578">
        <v>1</v>
      </c>
      <c r="E734" s="579" t="s">
        <v>8</v>
      </c>
      <c r="F734" s="569">
        <v>1</v>
      </c>
      <c r="G734" s="590">
        <v>4.5</v>
      </c>
      <c r="H734" s="591">
        <v>1.5</v>
      </c>
      <c r="I734" s="591">
        <v>0.125</v>
      </c>
      <c r="J734" s="591">
        <f>PRODUCT(D734:I734)</f>
        <v>0.84375</v>
      </c>
      <c r="K734" s="592"/>
    </row>
    <row r="735" spans="1:11">
      <c r="A735" s="568"/>
      <c r="B735" s="593" t="s">
        <v>1188</v>
      </c>
      <c r="C735" s="589"/>
      <c r="D735" s="578">
        <v>1</v>
      </c>
      <c r="E735" s="579" t="s">
        <v>8</v>
      </c>
      <c r="F735" s="569">
        <v>1</v>
      </c>
      <c r="G735" s="590">
        <v>3.7</v>
      </c>
      <c r="H735" s="591">
        <v>1.5</v>
      </c>
      <c r="I735" s="591">
        <v>0.125</v>
      </c>
      <c r="J735" s="591">
        <f t="shared" ref="J735:J738" si="54">PRODUCT(D735:I735)</f>
        <v>0.69375000000000009</v>
      </c>
      <c r="K735" s="592"/>
    </row>
    <row r="736" spans="1:11">
      <c r="A736" s="568"/>
      <c r="B736" s="593" t="s">
        <v>502</v>
      </c>
      <c r="C736" s="589"/>
      <c r="D736" s="578">
        <v>1</v>
      </c>
      <c r="E736" s="579" t="s">
        <v>8</v>
      </c>
      <c r="F736" s="569">
        <v>1</v>
      </c>
      <c r="G736" s="725">
        <f>(5403232/1000000)</f>
        <v>5.403232</v>
      </c>
      <c r="H736" s="726"/>
      <c r="I736" s="591">
        <v>0.125</v>
      </c>
      <c r="J736" s="591">
        <f t="shared" si="54"/>
        <v>0.675404</v>
      </c>
      <c r="K736" s="592"/>
    </row>
    <row r="737" spans="1:11">
      <c r="A737" s="568"/>
      <c r="B737" s="593" t="s">
        <v>501</v>
      </c>
      <c r="C737" s="589"/>
      <c r="D737" s="578">
        <v>1</v>
      </c>
      <c r="E737" s="579" t="s">
        <v>8</v>
      </c>
      <c r="F737" s="569">
        <v>1</v>
      </c>
      <c r="G737" s="590">
        <v>3.3</v>
      </c>
      <c r="H737" s="591">
        <v>0.2</v>
      </c>
      <c r="I737" s="591">
        <v>0.6</v>
      </c>
      <c r="J737" s="591">
        <f t="shared" si="54"/>
        <v>0.39600000000000002</v>
      </c>
      <c r="K737" s="592"/>
    </row>
    <row r="738" spans="1:11">
      <c r="A738" s="568"/>
      <c r="B738" s="593" t="s">
        <v>500</v>
      </c>
      <c r="C738" s="589"/>
      <c r="D738" s="578">
        <v>0.5</v>
      </c>
      <c r="E738" s="579" t="s">
        <v>8</v>
      </c>
      <c r="F738" s="569">
        <v>22</v>
      </c>
      <c r="G738" s="590">
        <v>1.5</v>
      </c>
      <c r="H738" s="591">
        <v>0.3</v>
      </c>
      <c r="I738" s="591">
        <v>0.15</v>
      </c>
      <c r="J738" s="591">
        <f t="shared" si="54"/>
        <v>0.74250000000000005</v>
      </c>
      <c r="K738" s="592"/>
    </row>
    <row r="739" spans="1:11">
      <c r="A739" s="568"/>
      <c r="B739" s="593"/>
      <c r="C739" s="589"/>
      <c r="G739" s="590"/>
      <c r="H739" s="591"/>
      <c r="I739" s="591"/>
      <c r="J739" s="605">
        <f>SUM(J728:J738)</f>
        <v>6.7028080000000001</v>
      </c>
      <c r="K739" s="592"/>
    </row>
    <row r="740" spans="1:11">
      <c r="A740" s="568"/>
      <c r="B740" s="593"/>
      <c r="C740" s="589"/>
      <c r="G740" s="590"/>
      <c r="H740" s="591"/>
      <c r="I740" s="591"/>
      <c r="J740" s="605">
        <f>ROUNDUP(J739,0)</f>
        <v>7</v>
      </c>
      <c r="K740" s="592" t="s">
        <v>52</v>
      </c>
    </row>
    <row r="741" spans="1:11">
      <c r="A741" s="568"/>
      <c r="B741" s="584" t="s">
        <v>62</v>
      </c>
      <c r="C741" s="589"/>
      <c r="G741" s="590"/>
      <c r="H741" s="591"/>
      <c r="I741" s="591"/>
      <c r="J741" s="591"/>
      <c r="K741" s="592"/>
    </row>
    <row r="742" spans="1:11">
      <c r="A742" s="568"/>
      <c r="B742" s="593" t="s">
        <v>504</v>
      </c>
      <c r="C742" s="589"/>
      <c r="G742" s="590"/>
      <c r="H742" s="591"/>
      <c r="I742" s="591"/>
      <c r="J742" s="591"/>
      <c r="K742" s="592"/>
    </row>
    <row r="743" spans="1:11">
      <c r="A743" s="568"/>
      <c r="B743" s="593" t="s">
        <v>1022</v>
      </c>
      <c r="C743" s="589"/>
      <c r="D743" s="578">
        <v>1</v>
      </c>
      <c r="E743" s="579" t="s">
        <v>8</v>
      </c>
      <c r="F743" s="569">
        <v>1</v>
      </c>
      <c r="G743" s="590">
        <v>8.3000000000000007</v>
      </c>
      <c r="H743" s="591">
        <v>0.2</v>
      </c>
      <c r="I743" s="591">
        <v>0.2</v>
      </c>
      <c r="J743" s="591">
        <f t="shared" ref="J743:J751" si="55">PRODUCT(D743:I743)</f>
        <v>0.33200000000000007</v>
      </c>
      <c r="K743" s="592"/>
    </row>
    <row r="744" spans="1:11">
      <c r="A744" s="568"/>
      <c r="B744" s="593"/>
      <c r="C744" s="589"/>
      <c r="D744" s="578">
        <v>1</v>
      </c>
      <c r="E744" s="579" t="s">
        <v>8</v>
      </c>
      <c r="F744" s="569">
        <v>1</v>
      </c>
      <c r="G744" s="590">
        <v>21.87</v>
      </c>
      <c r="H744" s="591">
        <v>0.2</v>
      </c>
      <c r="I744" s="591">
        <v>0.2</v>
      </c>
      <c r="J744" s="591">
        <f t="shared" si="55"/>
        <v>0.87480000000000013</v>
      </c>
      <c r="K744" s="592"/>
    </row>
    <row r="745" spans="1:11">
      <c r="A745" s="568"/>
      <c r="B745" s="593" t="s">
        <v>1189</v>
      </c>
      <c r="C745" s="589"/>
      <c r="D745" s="578">
        <v>1</v>
      </c>
      <c r="E745" s="579" t="s">
        <v>8</v>
      </c>
      <c r="F745" s="569">
        <v>1</v>
      </c>
      <c r="G745" s="590">
        <f>8.2+0.5</f>
        <v>8.6999999999999993</v>
      </c>
      <c r="H745" s="591">
        <v>0.2</v>
      </c>
      <c r="I745" s="591">
        <v>0.2</v>
      </c>
      <c r="J745" s="591">
        <f t="shared" si="55"/>
        <v>0.34800000000000003</v>
      </c>
      <c r="K745" s="592"/>
    </row>
    <row r="746" spans="1:11">
      <c r="A746" s="568"/>
      <c r="B746" s="593"/>
      <c r="C746" s="589"/>
      <c r="D746" s="578">
        <v>1</v>
      </c>
      <c r="E746" s="579" t="s">
        <v>8</v>
      </c>
      <c r="F746" s="569">
        <v>1</v>
      </c>
      <c r="G746" s="590">
        <v>12</v>
      </c>
      <c r="H746" s="591">
        <v>0.2</v>
      </c>
      <c r="I746" s="591">
        <v>0.2</v>
      </c>
      <c r="J746" s="591">
        <f t="shared" si="55"/>
        <v>0.48000000000000009</v>
      </c>
      <c r="K746" s="592"/>
    </row>
    <row r="747" spans="1:11">
      <c r="A747" s="568"/>
      <c r="B747" s="593" t="s">
        <v>583</v>
      </c>
      <c r="C747" s="589"/>
      <c r="D747" s="578">
        <v>1</v>
      </c>
      <c r="E747" s="579" t="s">
        <v>8</v>
      </c>
      <c r="F747" s="569">
        <v>1</v>
      </c>
      <c r="G747" s="590">
        <v>10.6</v>
      </c>
      <c r="H747" s="591">
        <v>0.2</v>
      </c>
      <c r="I747" s="591">
        <v>0.2</v>
      </c>
      <c r="J747" s="591">
        <f t="shared" si="55"/>
        <v>0.42400000000000004</v>
      </c>
      <c r="K747" s="592"/>
    </row>
    <row r="748" spans="1:11">
      <c r="A748" s="568"/>
      <c r="B748" s="593"/>
      <c r="C748" s="589"/>
      <c r="D748" s="578">
        <v>1</v>
      </c>
      <c r="E748" s="579" t="s">
        <v>8</v>
      </c>
      <c r="F748" s="569">
        <v>1</v>
      </c>
      <c r="G748" s="590">
        <v>5.45</v>
      </c>
      <c r="H748" s="591">
        <v>0.2</v>
      </c>
      <c r="I748" s="591">
        <v>0.2</v>
      </c>
      <c r="J748" s="591">
        <f t="shared" si="55"/>
        <v>0.21800000000000003</v>
      </c>
      <c r="K748" s="592"/>
    </row>
    <row r="749" spans="1:11">
      <c r="A749" s="568"/>
      <c r="B749" s="593"/>
      <c r="C749" s="589"/>
      <c r="D749" s="578">
        <v>1</v>
      </c>
      <c r="E749" s="579" t="s">
        <v>8</v>
      </c>
      <c r="F749" s="569">
        <v>1</v>
      </c>
      <c r="G749" s="590">
        <v>6</v>
      </c>
      <c r="H749" s="591">
        <v>0.2</v>
      </c>
      <c r="I749" s="591">
        <v>0.2</v>
      </c>
      <c r="J749" s="591">
        <f t="shared" si="55"/>
        <v>0.24000000000000005</v>
      </c>
      <c r="K749" s="592"/>
    </row>
    <row r="750" spans="1:11">
      <c r="A750" s="568"/>
      <c r="B750" s="593"/>
      <c r="C750" s="589"/>
      <c r="D750" s="578">
        <v>1</v>
      </c>
      <c r="E750" s="579" t="s">
        <v>8</v>
      </c>
      <c r="F750" s="569">
        <v>1</v>
      </c>
      <c r="G750" s="590">
        <v>10</v>
      </c>
      <c r="H750" s="591">
        <v>0.2</v>
      </c>
      <c r="I750" s="591">
        <v>0.2</v>
      </c>
      <c r="J750" s="591">
        <f t="shared" si="55"/>
        <v>0.4</v>
      </c>
      <c r="K750" s="592"/>
    </row>
    <row r="751" spans="1:11">
      <c r="A751" s="568"/>
      <c r="B751" s="593" t="s">
        <v>549</v>
      </c>
      <c r="C751" s="589"/>
      <c r="D751" s="578">
        <v>1</v>
      </c>
      <c r="E751" s="579" t="s">
        <v>8</v>
      </c>
      <c r="F751" s="569">
        <v>1</v>
      </c>
      <c r="G751" s="590">
        <v>20.2</v>
      </c>
      <c r="H751" s="591">
        <v>0.2</v>
      </c>
      <c r="I751" s="591">
        <v>0.2</v>
      </c>
      <c r="J751" s="591">
        <f t="shared" si="55"/>
        <v>0.80800000000000005</v>
      </c>
      <c r="K751" s="592"/>
    </row>
    <row r="752" spans="1:11">
      <c r="A752" s="568"/>
      <c r="B752" s="593" t="s">
        <v>611</v>
      </c>
      <c r="C752" s="589"/>
      <c r="G752" s="590"/>
      <c r="H752" s="591"/>
      <c r="I752" s="591"/>
      <c r="J752" s="591"/>
      <c r="K752" s="592"/>
    </row>
    <row r="753" spans="1:11">
      <c r="A753" s="568"/>
      <c r="B753" s="593" t="s">
        <v>613</v>
      </c>
      <c r="C753" s="589"/>
      <c r="D753" s="578">
        <v>1</v>
      </c>
      <c r="E753" s="579" t="s">
        <v>8</v>
      </c>
      <c r="F753" s="569">
        <v>4</v>
      </c>
      <c r="G753" s="590">
        <f>1.2+0.2+0.2</f>
        <v>1.5999999999999999</v>
      </c>
      <c r="H753" s="591">
        <v>0.2</v>
      </c>
      <c r="I753" s="591">
        <v>0.2</v>
      </c>
      <c r="J753" s="591">
        <f t="shared" ref="J753:J755" si="56">PRODUCT(D753:I753)</f>
        <v>0.25600000000000001</v>
      </c>
      <c r="K753" s="592"/>
    </row>
    <row r="754" spans="1:11">
      <c r="A754" s="568"/>
      <c r="B754" s="593" t="s">
        <v>29</v>
      </c>
      <c r="C754" s="589"/>
      <c r="D754" s="578">
        <v>1</v>
      </c>
      <c r="E754" s="579" t="s">
        <v>8</v>
      </c>
      <c r="F754" s="569">
        <v>2</v>
      </c>
      <c r="G754" s="590">
        <f>1+0.2+0.2</f>
        <v>1.4</v>
      </c>
      <c r="H754" s="591">
        <v>0.2</v>
      </c>
      <c r="I754" s="591">
        <v>0.2</v>
      </c>
      <c r="J754" s="591">
        <f t="shared" si="56"/>
        <v>0.11199999999999999</v>
      </c>
      <c r="K754" s="592"/>
    </row>
    <row r="755" spans="1:11">
      <c r="A755" s="568"/>
      <c r="B755" s="593" t="s">
        <v>585</v>
      </c>
      <c r="C755" s="589"/>
      <c r="D755" s="578">
        <v>1</v>
      </c>
      <c r="E755" s="579" t="s">
        <v>8</v>
      </c>
      <c r="F755" s="569">
        <v>3</v>
      </c>
      <c r="G755" s="590">
        <f>0.9+0.2+0.2</f>
        <v>1.3</v>
      </c>
      <c r="H755" s="591">
        <v>0.2</v>
      </c>
      <c r="I755" s="591">
        <v>0.2</v>
      </c>
      <c r="J755" s="591">
        <f t="shared" si="56"/>
        <v>0.15600000000000003</v>
      </c>
      <c r="K755" s="592"/>
    </row>
    <row r="756" spans="1:11">
      <c r="A756" s="568"/>
      <c r="B756" s="593" t="s">
        <v>612</v>
      </c>
      <c r="C756" s="589"/>
      <c r="G756" s="590"/>
      <c r="H756" s="591"/>
      <c r="I756" s="591"/>
      <c r="J756" s="591"/>
      <c r="K756" s="592"/>
    </row>
    <row r="757" spans="1:11">
      <c r="A757" s="568"/>
      <c r="B757" s="593" t="s">
        <v>902</v>
      </c>
      <c r="C757" s="589"/>
      <c r="D757" s="578">
        <v>1</v>
      </c>
      <c r="E757" s="579" t="s">
        <v>8</v>
      </c>
      <c r="F757" s="569">
        <v>5</v>
      </c>
      <c r="G757" s="590">
        <f>0.75+0.2+0.2</f>
        <v>1.1499999999999999</v>
      </c>
      <c r="H757" s="591">
        <v>0.2</v>
      </c>
      <c r="I757" s="591">
        <v>0.2</v>
      </c>
      <c r="J757" s="591">
        <f>PRODUCT(D757:I757)</f>
        <v>0.23000000000000004</v>
      </c>
      <c r="K757" s="592"/>
    </row>
    <row r="758" spans="1:11">
      <c r="A758" s="568"/>
      <c r="B758" s="593" t="s">
        <v>1190</v>
      </c>
      <c r="C758" s="589"/>
      <c r="D758" s="578">
        <v>1</v>
      </c>
      <c r="E758" s="579" t="s">
        <v>8</v>
      </c>
      <c r="F758" s="569">
        <v>1</v>
      </c>
      <c r="G758" s="590">
        <f>1+0.2+0.2</f>
        <v>1.4</v>
      </c>
      <c r="H758" s="591">
        <v>0.2</v>
      </c>
      <c r="I758" s="591">
        <v>0.2</v>
      </c>
      <c r="J758" s="591">
        <f>PRODUCT(D758:I758)</f>
        <v>5.5999999999999994E-2</v>
      </c>
      <c r="K758" s="592"/>
    </row>
    <row r="759" spans="1:11">
      <c r="A759" s="568"/>
      <c r="B759" s="593" t="s">
        <v>1351</v>
      </c>
      <c r="C759" s="599"/>
      <c r="D759" s="578">
        <v>2</v>
      </c>
      <c r="E759" s="579" t="s">
        <v>8</v>
      </c>
      <c r="F759" s="569">
        <v>1</v>
      </c>
      <c r="G759" s="600">
        <v>12.08</v>
      </c>
      <c r="H759" s="600">
        <v>0.2</v>
      </c>
      <c r="I759" s="600">
        <v>0.15</v>
      </c>
      <c r="J759" s="597">
        <f t="shared" ref="J759" si="57">PRODUCT(D759:I759)</f>
        <v>0.72480000000000011</v>
      </c>
      <c r="K759" s="592"/>
    </row>
    <row r="760" spans="1:11">
      <c r="A760" s="568"/>
      <c r="B760" s="593"/>
      <c r="C760" s="589"/>
      <c r="G760" s="590"/>
      <c r="H760" s="591"/>
      <c r="I760" s="591"/>
      <c r="J760" s="605">
        <f>SUM(J743:J759)</f>
        <v>5.6596000000000011</v>
      </c>
      <c r="K760" s="592"/>
    </row>
    <row r="761" spans="1:11">
      <c r="A761" s="568"/>
      <c r="B761" s="593"/>
      <c r="C761" s="589"/>
      <c r="G761" s="590"/>
      <c r="H761" s="591"/>
      <c r="I761" s="591"/>
      <c r="J761" s="605">
        <f>ROUNDUP(J760,0)</f>
        <v>6</v>
      </c>
      <c r="K761" s="592" t="s">
        <v>52</v>
      </c>
    </row>
    <row r="762" spans="1:11">
      <c r="A762" s="568"/>
      <c r="B762" s="584" t="s">
        <v>61</v>
      </c>
      <c r="C762" s="589"/>
      <c r="G762" s="590"/>
      <c r="H762" s="591"/>
      <c r="I762" s="591"/>
      <c r="J762" s="591"/>
      <c r="K762" s="592"/>
    </row>
    <row r="763" spans="1:11">
      <c r="A763" s="568"/>
      <c r="B763" s="593" t="s">
        <v>504</v>
      </c>
      <c r="C763" s="589"/>
      <c r="G763" s="590"/>
      <c r="H763" s="591"/>
      <c r="I763" s="591"/>
      <c r="J763" s="591"/>
      <c r="K763" s="592"/>
    </row>
    <row r="764" spans="1:11">
      <c r="A764" s="568"/>
      <c r="B764" s="593" t="s">
        <v>579</v>
      </c>
      <c r="C764" s="589"/>
      <c r="D764" s="578">
        <v>1</v>
      </c>
      <c r="E764" s="579" t="s">
        <v>8</v>
      </c>
      <c r="F764" s="569">
        <v>12</v>
      </c>
      <c r="G764" s="590">
        <f>1.5+0.2+0.2</f>
        <v>1.9</v>
      </c>
      <c r="H764" s="591">
        <v>0.6</v>
      </c>
      <c r="I764" s="620">
        <v>6.25E-2</v>
      </c>
      <c r="J764" s="591">
        <f t="shared" ref="J764:J770" si="58">PRODUCT(D764:I764)</f>
        <v>0.85499999999999987</v>
      </c>
      <c r="K764" s="592"/>
    </row>
    <row r="765" spans="1:11">
      <c r="A765" s="568"/>
      <c r="B765" s="593" t="s">
        <v>586</v>
      </c>
      <c r="C765" s="589"/>
      <c r="D765" s="578">
        <v>1</v>
      </c>
      <c r="E765" s="579" t="s">
        <v>8</v>
      </c>
      <c r="F765" s="569">
        <v>2</v>
      </c>
      <c r="G765" s="590">
        <f>2.15+0.2+0.2</f>
        <v>2.5500000000000003</v>
      </c>
      <c r="H765" s="591">
        <v>0.75</v>
      </c>
      <c r="I765" s="620">
        <v>6.25E-2</v>
      </c>
      <c r="J765" s="591">
        <f t="shared" si="58"/>
        <v>0.23906250000000001</v>
      </c>
      <c r="K765" s="592"/>
    </row>
    <row r="766" spans="1:11">
      <c r="A766" s="568"/>
      <c r="B766" s="593" t="s">
        <v>1191</v>
      </c>
      <c r="C766" s="589"/>
      <c r="D766" s="578">
        <v>1</v>
      </c>
      <c r="E766" s="579" t="s">
        <v>8</v>
      </c>
      <c r="F766" s="569">
        <v>1</v>
      </c>
      <c r="G766" s="590">
        <f>2.15+0.2+0.2</f>
        <v>2.5500000000000003</v>
      </c>
      <c r="H766" s="591">
        <v>0.75</v>
      </c>
      <c r="I766" s="620">
        <v>6.25E-2</v>
      </c>
      <c r="J766" s="591">
        <f t="shared" si="58"/>
        <v>0.11953125000000001</v>
      </c>
      <c r="K766" s="592"/>
    </row>
    <row r="767" spans="1:11">
      <c r="A767" s="568"/>
      <c r="B767" s="593" t="s">
        <v>1192</v>
      </c>
      <c r="C767" s="589"/>
      <c r="D767" s="578">
        <v>1</v>
      </c>
      <c r="E767" s="579" t="s">
        <v>8</v>
      </c>
      <c r="F767" s="569">
        <v>2</v>
      </c>
      <c r="G767" s="590">
        <f>1.2+0.2+0.2</f>
        <v>1.5999999999999999</v>
      </c>
      <c r="H767" s="591">
        <v>0.6</v>
      </c>
      <c r="I767" s="620">
        <v>6.25E-2</v>
      </c>
      <c r="J767" s="591">
        <f t="shared" si="58"/>
        <v>0.11999999999999998</v>
      </c>
      <c r="K767" s="592"/>
    </row>
    <row r="768" spans="1:11">
      <c r="A768" s="568"/>
      <c r="B768" s="584" t="s">
        <v>1339</v>
      </c>
      <c r="C768" s="589"/>
      <c r="G768" s="590"/>
      <c r="H768" s="591"/>
      <c r="I768" s="591"/>
      <c r="J768" s="591"/>
      <c r="K768" s="592"/>
    </row>
    <row r="769" spans="1:11">
      <c r="A769" s="568"/>
      <c r="B769" s="593" t="s">
        <v>1352</v>
      </c>
      <c r="C769" s="599"/>
      <c r="D769" s="578">
        <v>2</v>
      </c>
      <c r="E769" s="579" t="s">
        <v>8</v>
      </c>
      <c r="F769" s="569">
        <v>2</v>
      </c>
      <c r="G769" s="600">
        <f>1.2+0.2+0.2</f>
        <v>1.5999999999999999</v>
      </c>
      <c r="H769" s="600">
        <v>0.3</v>
      </c>
      <c r="I769" s="600">
        <v>0.125</v>
      </c>
      <c r="J769" s="597">
        <f t="shared" si="58"/>
        <v>0.23999999999999996</v>
      </c>
      <c r="K769" s="592"/>
    </row>
    <row r="770" spans="1:11">
      <c r="A770" s="568"/>
      <c r="B770" s="593" t="s">
        <v>1353</v>
      </c>
      <c r="C770" s="599"/>
      <c r="D770" s="578">
        <v>2</v>
      </c>
      <c r="E770" s="579" t="s">
        <v>8</v>
      </c>
      <c r="F770" s="569">
        <v>3</v>
      </c>
      <c r="G770" s="600">
        <f>0.75+0.2+0.2</f>
        <v>1.1499999999999999</v>
      </c>
      <c r="H770" s="600">
        <v>0.3</v>
      </c>
      <c r="I770" s="600">
        <v>0.125</v>
      </c>
      <c r="J770" s="597">
        <f t="shared" si="58"/>
        <v>0.25874999999999998</v>
      </c>
      <c r="K770" s="592"/>
    </row>
    <row r="771" spans="1:11">
      <c r="A771" s="568"/>
      <c r="B771" s="593"/>
      <c r="C771" s="589"/>
      <c r="G771" s="590"/>
      <c r="H771" s="591"/>
      <c r="I771" s="591"/>
      <c r="J771" s="605">
        <f>SUM(J764:J770)</f>
        <v>1.8323437499999999</v>
      </c>
      <c r="K771" s="592"/>
    </row>
    <row r="772" spans="1:11">
      <c r="A772" s="568"/>
      <c r="B772" s="593"/>
      <c r="C772" s="589"/>
      <c r="G772" s="590"/>
      <c r="H772" s="591"/>
      <c r="I772" s="591"/>
      <c r="J772" s="605">
        <f>ROUNDUP(J771,0)</f>
        <v>2</v>
      </c>
      <c r="K772" s="592" t="s">
        <v>52</v>
      </c>
    </row>
    <row r="773" spans="1:11">
      <c r="A773" s="568"/>
      <c r="B773" s="584" t="s">
        <v>609</v>
      </c>
      <c r="C773" s="599"/>
      <c r="G773" s="599"/>
      <c r="H773" s="599"/>
      <c r="I773" s="599"/>
      <c r="J773" s="599"/>
      <c r="K773" s="592"/>
    </row>
    <row r="774" spans="1:11">
      <c r="A774" s="568"/>
      <c r="B774" s="593" t="s">
        <v>12</v>
      </c>
      <c r="C774" s="599"/>
      <c r="G774" s="599"/>
      <c r="H774" s="599"/>
      <c r="I774" s="599"/>
      <c r="J774" s="599"/>
      <c r="K774" s="592"/>
    </row>
    <row r="775" spans="1:11">
      <c r="A775" s="568"/>
      <c r="B775" s="593" t="s">
        <v>1354</v>
      </c>
      <c r="C775" s="599"/>
      <c r="D775" s="578">
        <v>1</v>
      </c>
      <c r="E775" s="579" t="s">
        <v>8</v>
      </c>
      <c r="F775" s="569">
        <v>1</v>
      </c>
      <c r="G775" s="600">
        <f>32.47+0.2</f>
        <v>32.67</v>
      </c>
      <c r="H775" s="600">
        <v>0.2</v>
      </c>
      <c r="I775" s="600">
        <v>0.2</v>
      </c>
      <c r="J775" s="597">
        <f t="shared" ref="J775:J779" si="59">PRODUCT(D775:I775)</f>
        <v>1.3068000000000002</v>
      </c>
      <c r="K775" s="592"/>
    </row>
    <row r="776" spans="1:11">
      <c r="A776" s="568"/>
      <c r="B776" s="593" t="s">
        <v>1355</v>
      </c>
      <c r="C776" s="599"/>
      <c r="D776" s="578">
        <v>1</v>
      </c>
      <c r="E776" s="579" t="s">
        <v>8</v>
      </c>
      <c r="F776" s="569">
        <v>2</v>
      </c>
      <c r="G776" s="600">
        <v>10.199999999999999</v>
      </c>
      <c r="H776" s="600">
        <v>0.2</v>
      </c>
      <c r="I776" s="600">
        <v>0.2</v>
      </c>
      <c r="J776" s="597">
        <f t="shared" si="59"/>
        <v>0.81600000000000006</v>
      </c>
      <c r="K776" s="592"/>
    </row>
    <row r="777" spans="1:11">
      <c r="A777" s="568"/>
      <c r="B777" s="593" t="s">
        <v>1356</v>
      </c>
      <c r="C777" s="599"/>
      <c r="D777" s="578">
        <v>1</v>
      </c>
      <c r="E777" s="579" t="s">
        <v>8</v>
      </c>
      <c r="F777" s="569">
        <v>1</v>
      </c>
      <c r="G777" s="600">
        <v>7.9</v>
      </c>
      <c r="H777" s="600">
        <v>0.2</v>
      </c>
      <c r="I777" s="600">
        <v>0.2</v>
      </c>
      <c r="J777" s="597">
        <f t="shared" si="59"/>
        <v>0.31600000000000006</v>
      </c>
      <c r="K777" s="592"/>
    </row>
    <row r="778" spans="1:11">
      <c r="A778" s="568"/>
      <c r="B778" s="593" t="s">
        <v>1355</v>
      </c>
      <c r="C778" s="599"/>
      <c r="D778" s="578">
        <v>1</v>
      </c>
      <c r="E778" s="579" t="s">
        <v>8</v>
      </c>
      <c r="F778" s="569">
        <v>2</v>
      </c>
      <c r="G778" s="600">
        <v>10.5</v>
      </c>
      <c r="H778" s="600">
        <v>0.2</v>
      </c>
      <c r="I778" s="600">
        <v>0.2</v>
      </c>
      <c r="J778" s="597">
        <f t="shared" si="59"/>
        <v>0.84000000000000008</v>
      </c>
      <c r="K778" s="592"/>
    </row>
    <row r="779" spans="1:11">
      <c r="A779" s="568"/>
      <c r="B779" s="593" t="s">
        <v>1356</v>
      </c>
      <c r="C779" s="599"/>
      <c r="D779" s="578">
        <v>1</v>
      </c>
      <c r="E779" s="579" t="s">
        <v>8</v>
      </c>
      <c r="F779" s="569">
        <v>1</v>
      </c>
      <c r="G779" s="600">
        <v>8.5</v>
      </c>
      <c r="H779" s="600">
        <v>0.2</v>
      </c>
      <c r="I779" s="600">
        <v>0.2</v>
      </c>
      <c r="J779" s="597">
        <f t="shared" si="59"/>
        <v>0.34000000000000008</v>
      </c>
      <c r="K779" s="592"/>
    </row>
    <row r="780" spans="1:11">
      <c r="A780" s="568"/>
      <c r="B780" s="593"/>
      <c r="C780" s="589"/>
      <c r="G780" s="590"/>
      <c r="H780" s="591"/>
      <c r="I780" s="591"/>
      <c r="J780" s="605">
        <f>SUM(J775:J779)</f>
        <v>3.6188000000000002</v>
      </c>
      <c r="K780" s="592"/>
    </row>
    <row r="781" spans="1:11">
      <c r="A781" s="568"/>
      <c r="B781" s="593"/>
      <c r="C781" s="589"/>
      <c r="G781" s="590"/>
      <c r="H781" s="591"/>
      <c r="I781" s="591"/>
      <c r="J781" s="605">
        <f>ROUNDUP(J780,0)</f>
        <v>4</v>
      </c>
      <c r="K781" s="592" t="s">
        <v>52</v>
      </c>
    </row>
    <row r="782" spans="1:11">
      <c r="A782" s="568"/>
      <c r="B782" s="584" t="s">
        <v>618</v>
      </c>
      <c r="C782" s="577"/>
      <c r="G782" s="612"/>
      <c r="H782" s="598"/>
      <c r="I782" s="598"/>
      <c r="J782" s="598"/>
      <c r="K782" s="581"/>
    </row>
    <row r="783" spans="1:11">
      <c r="A783" s="568"/>
      <c r="B783" s="593" t="s">
        <v>584</v>
      </c>
      <c r="C783" s="577"/>
      <c r="D783" s="578">
        <v>1</v>
      </c>
      <c r="E783" s="579" t="s">
        <v>8</v>
      </c>
      <c r="F783" s="569">
        <v>1</v>
      </c>
      <c r="G783" s="621">
        <v>4.47</v>
      </c>
      <c r="H783" s="594">
        <v>0.6</v>
      </c>
      <c r="I783" s="598">
        <v>7.4999999999999997E-2</v>
      </c>
      <c r="J783" s="598">
        <f t="shared" ref="J783:J786" si="60">ROUNDUP(PRODUCT(D783:I783),2)</f>
        <v>0.21000000000000002</v>
      </c>
      <c r="K783" s="581"/>
    </row>
    <row r="784" spans="1:11">
      <c r="A784" s="568"/>
      <c r="B784" s="593"/>
      <c r="C784" s="577"/>
      <c r="D784" s="578">
        <v>1</v>
      </c>
      <c r="E784" s="579" t="s">
        <v>8</v>
      </c>
      <c r="F784" s="569">
        <v>1</v>
      </c>
      <c r="G784" s="621">
        <v>3.5</v>
      </c>
      <c r="H784" s="594">
        <v>0.6</v>
      </c>
      <c r="I784" s="598">
        <v>7.4999999999999997E-2</v>
      </c>
      <c r="J784" s="598">
        <f t="shared" si="60"/>
        <v>0.16</v>
      </c>
      <c r="K784" s="581"/>
    </row>
    <row r="785" spans="1:11">
      <c r="A785" s="568"/>
      <c r="B785" s="593" t="s">
        <v>1102</v>
      </c>
      <c r="C785" s="577"/>
      <c r="D785" s="578">
        <v>1</v>
      </c>
      <c r="E785" s="579" t="s">
        <v>8</v>
      </c>
      <c r="F785" s="569">
        <v>1</v>
      </c>
      <c r="G785" s="612">
        <v>2.375</v>
      </c>
      <c r="H785" s="598">
        <v>0.6</v>
      </c>
      <c r="I785" s="598">
        <v>7.4999999999999997E-2</v>
      </c>
      <c r="J785" s="598">
        <f t="shared" si="60"/>
        <v>0.11</v>
      </c>
      <c r="K785" s="581"/>
    </row>
    <row r="786" spans="1:11">
      <c r="A786" s="568"/>
      <c r="B786" s="593" t="s">
        <v>1193</v>
      </c>
      <c r="C786" s="577"/>
      <c r="D786" s="578">
        <v>1</v>
      </c>
      <c r="E786" s="579" t="s">
        <v>8</v>
      </c>
      <c r="F786" s="569">
        <v>1</v>
      </c>
      <c r="G786" s="612">
        <v>4.5999999999999996</v>
      </c>
      <c r="H786" s="598">
        <v>0.6</v>
      </c>
      <c r="I786" s="598">
        <v>7.4999999999999997E-2</v>
      </c>
      <c r="J786" s="598">
        <f t="shared" si="60"/>
        <v>0.21000000000000002</v>
      </c>
      <c r="K786" s="581"/>
    </row>
    <row r="787" spans="1:11">
      <c r="A787" s="568"/>
      <c r="B787" s="593"/>
      <c r="C787" s="577"/>
      <c r="G787" s="612"/>
      <c r="H787" s="598"/>
      <c r="I787" s="598"/>
      <c r="J787" s="614">
        <f>SUM(J783:J786)</f>
        <v>0.69</v>
      </c>
      <c r="K787" s="581"/>
    </row>
    <row r="788" spans="1:11">
      <c r="A788" s="568"/>
      <c r="B788" s="622"/>
      <c r="C788" s="577"/>
      <c r="G788" s="612"/>
      <c r="H788" s="598"/>
      <c r="I788" s="598"/>
      <c r="J788" s="605">
        <f>ROUNDUP(J787,0)</f>
        <v>1</v>
      </c>
      <c r="K788" s="592" t="s">
        <v>52</v>
      </c>
    </row>
    <row r="789" spans="1:11">
      <c r="A789" s="568"/>
      <c r="B789" s="593"/>
      <c r="C789" s="589"/>
      <c r="G789" s="590"/>
      <c r="H789" s="591"/>
      <c r="I789" s="591"/>
      <c r="J789" s="591"/>
      <c r="K789" s="592"/>
    </row>
    <row r="790" spans="1:11">
      <c r="A790" s="568"/>
      <c r="B790" s="572" t="s">
        <v>58</v>
      </c>
      <c r="C790" s="589"/>
      <c r="G790" s="590"/>
      <c r="H790" s="591"/>
      <c r="I790" s="591"/>
      <c r="J790" s="605">
        <f>J772+J761+J740+J726+J708+J639+J781+J788</f>
        <v>188</v>
      </c>
      <c r="K790" s="592" t="s">
        <v>52</v>
      </c>
    </row>
    <row r="791" spans="1:11">
      <c r="A791" s="568"/>
      <c r="B791" s="593"/>
      <c r="C791" s="589"/>
      <c r="G791" s="590"/>
      <c r="H791" s="591"/>
      <c r="I791" s="591"/>
      <c r="J791" s="591"/>
      <c r="K791" s="592"/>
    </row>
    <row r="792" spans="1:11">
      <c r="A792" s="568" t="s">
        <v>69</v>
      </c>
      <c r="B792" s="584" t="str">
        <f>'BOQ-C&amp;I'!C35</f>
        <v>First Floor</v>
      </c>
      <c r="C792" s="589"/>
      <c r="G792" s="590"/>
      <c r="H792" s="591"/>
      <c r="I792" s="591"/>
      <c r="J792" s="591"/>
      <c r="K792" s="592"/>
    </row>
    <row r="793" spans="1:11">
      <c r="A793" s="568"/>
      <c r="B793" s="593" t="s">
        <v>1112</v>
      </c>
      <c r="C793" s="589"/>
      <c r="D793" s="578">
        <v>1</v>
      </c>
      <c r="E793" s="579" t="s">
        <v>8</v>
      </c>
      <c r="F793" s="569">
        <v>7</v>
      </c>
      <c r="G793" s="590">
        <v>0.2</v>
      </c>
      <c r="H793" s="591">
        <v>1.2</v>
      </c>
      <c r="I793" s="591">
        <f>3.4-0.45</f>
        <v>2.9499999999999997</v>
      </c>
      <c r="J793" s="598">
        <f t="shared" ref="J793:J807" si="61">ROUNDUP(PRODUCT(D793:I793),2)</f>
        <v>4.96</v>
      </c>
      <c r="K793" s="592"/>
    </row>
    <row r="794" spans="1:11">
      <c r="A794" s="568"/>
      <c r="B794" s="593" t="s">
        <v>1113</v>
      </c>
      <c r="C794" s="589"/>
      <c r="D794" s="578">
        <v>1</v>
      </c>
      <c r="E794" s="579" t="s">
        <v>8</v>
      </c>
      <c r="F794" s="569">
        <v>2</v>
      </c>
      <c r="G794" s="590">
        <v>0.2</v>
      </c>
      <c r="H794" s="591">
        <v>1.2</v>
      </c>
      <c r="I794" s="591">
        <v>2.95</v>
      </c>
      <c r="J794" s="598">
        <f t="shared" si="61"/>
        <v>1.42</v>
      </c>
      <c r="K794" s="592"/>
    </row>
    <row r="795" spans="1:11">
      <c r="A795" s="568"/>
      <c r="B795" s="593" t="s">
        <v>1114</v>
      </c>
      <c r="C795" s="589"/>
      <c r="D795" s="578">
        <v>1</v>
      </c>
      <c r="E795" s="579" t="s">
        <v>8</v>
      </c>
      <c r="F795" s="569">
        <v>4</v>
      </c>
      <c r="G795" s="590">
        <v>0.2</v>
      </c>
      <c r="H795" s="591">
        <v>1</v>
      </c>
      <c r="I795" s="591">
        <v>2.95</v>
      </c>
      <c r="J795" s="598">
        <f t="shared" si="61"/>
        <v>2.36</v>
      </c>
      <c r="K795" s="592"/>
    </row>
    <row r="796" spans="1:11">
      <c r="A796" s="568"/>
      <c r="B796" s="593" t="s">
        <v>1115</v>
      </c>
      <c r="C796" s="589"/>
      <c r="D796" s="578">
        <v>1</v>
      </c>
      <c r="E796" s="579" t="s">
        <v>8</v>
      </c>
      <c r="F796" s="569">
        <v>2</v>
      </c>
      <c r="G796" s="590">
        <v>0.2</v>
      </c>
      <c r="H796" s="591">
        <v>1</v>
      </c>
      <c r="I796" s="591">
        <v>2.95</v>
      </c>
      <c r="J796" s="598">
        <f t="shared" si="61"/>
        <v>1.18</v>
      </c>
      <c r="K796" s="592"/>
    </row>
    <row r="797" spans="1:11">
      <c r="A797" s="568"/>
      <c r="B797" s="593" t="s">
        <v>1116</v>
      </c>
      <c r="C797" s="589"/>
      <c r="D797" s="578">
        <v>1</v>
      </c>
      <c r="E797" s="579" t="s">
        <v>8</v>
      </c>
      <c r="F797" s="569">
        <f>4+5</f>
        <v>9</v>
      </c>
      <c r="G797" s="590">
        <v>0.2</v>
      </c>
      <c r="H797" s="591">
        <v>0.9</v>
      </c>
      <c r="I797" s="591">
        <v>2.95</v>
      </c>
      <c r="J797" s="598">
        <f t="shared" si="61"/>
        <v>4.7799999999999994</v>
      </c>
      <c r="K797" s="592"/>
    </row>
    <row r="798" spans="1:11">
      <c r="A798" s="568"/>
      <c r="B798" s="593" t="s">
        <v>1117</v>
      </c>
      <c r="C798" s="589"/>
      <c r="D798" s="578">
        <v>1</v>
      </c>
      <c r="E798" s="579" t="s">
        <v>8</v>
      </c>
      <c r="F798" s="569">
        <v>3</v>
      </c>
      <c r="G798" s="590">
        <v>0.2</v>
      </c>
      <c r="H798" s="591">
        <v>0.9</v>
      </c>
      <c r="I798" s="591">
        <v>2.95</v>
      </c>
      <c r="J798" s="598">
        <f t="shared" si="61"/>
        <v>1.6</v>
      </c>
      <c r="K798" s="592"/>
    </row>
    <row r="799" spans="1:11">
      <c r="A799" s="568"/>
      <c r="B799" s="593" t="s">
        <v>1118</v>
      </c>
      <c r="C799" s="589"/>
      <c r="D799" s="578">
        <v>1</v>
      </c>
      <c r="E799" s="579" t="s">
        <v>8</v>
      </c>
      <c r="F799" s="569">
        <f>3+2</f>
        <v>5</v>
      </c>
      <c r="G799" s="590">
        <v>0.2</v>
      </c>
      <c r="H799" s="591">
        <v>0.8</v>
      </c>
      <c r="I799" s="591">
        <v>2.95</v>
      </c>
      <c r="J799" s="598">
        <f t="shared" si="61"/>
        <v>2.36</v>
      </c>
      <c r="K799" s="592"/>
    </row>
    <row r="800" spans="1:11">
      <c r="A800" s="568"/>
      <c r="B800" s="593" t="s">
        <v>1119</v>
      </c>
      <c r="C800" s="589"/>
      <c r="D800" s="578">
        <v>1</v>
      </c>
      <c r="E800" s="579" t="s">
        <v>8</v>
      </c>
      <c r="F800" s="569">
        <v>7</v>
      </c>
      <c r="G800" s="590">
        <v>0.2</v>
      </c>
      <c r="H800" s="591">
        <v>0.75</v>
      </c>
      <c r="I800" s="591">
        <v>2.95</v>
      </c>
      <c r="J800" s="598">
        <f t="shared" si="61"/>
        <v>3.0999999999999996</v>
      </c>
      <c r="K800" s="592"/>
    </row>
    <row r="801" spans="1:11">
      <c r="A801" s="568"/>
      <c r="B801" s="593" t="s">
        <v>1120</v>
      </c>
      <c r="C801" s="589"/>
      <c r="D801" s="578">
        <v>1</v>
      </c>
      <c r="E801" s="579" t="s">
        <v>8</v>
      </c>
      <c r="F801" s="569">
        <f>2</f>
        <v>2</v>
      </c>
      <c r="G801" s="590">
        <v>0.2</v>
      </c>
      <c r="H801" s="591">
        <v>0.6</v>
      </c>
      <c r="I801" s="591">
        <v>2.95</v>
      </c>
      <c r="J801" s="598">
        <f t="shared" si="61"/>
        <v>0.71</v>
      </c>
      <c r="K801" s="592"/>
    </row>
    <row r="802" spans="1:11">
      <c r="A802" s="568"/>
      <c r="B802" s="593" t="s">
        <v>1121</v>
      </c>
      <c r="C802" s="589"/>
      <c r="D802" s="578">
        <v>1</v>
      </c>
      <c r="E802" s="579" t="s">
        <v>8</v>
      </c>
      <c r="F802" s="569">
        <v>3</v>
      </c>
      <c r="G802" s="590">
        <v>0.2</v>
      </c>
      <c r="H802" s="591">
        <v>0.6</v>
      </c>
      <c r="I802" s="591">
        <v>2.95</v>
      </c>
      <c r="J802" s="598">
        <f t="shared" si="61"/>
        <v>1.07</v>
      </c>
      <c r="K802" s="592"/>
    </row>
    <row r="803" spans="1:11">
      <c r="A803" s="568"/>
      <c r="B803" s="593" t="s">
        <v>1122</v>
      </c>
      <c r="C803" s="589"/>
      <c r="D803" s="578">
        <v>1</v>
      </c>
      <c r="E803" s="579" t="s">
        <v>8</v>
      </c>
      <c r="F803" s="569">
        <v>6</v>
      </c>
      <c r="G803" s="590">
        <v>0.2</v>
      </c>
      <c r="H803" s="591">
        <v>0.9</v>
      </c>
      <c r="I803" s="591">
        <v>2.95</v>
      </c>
      <c r="J803" s="598">
        <f t="shared" si="61"/>
        <v>3.19</v>
      </c>
      <c r="K803" s="592"/>
    </row>
    <row r="804" spans="1:11">
      <c r="A804" s="568"/>
      <c r="B804" s="593" t="s">
        <v>1123</v>
      </c>
      <c r="C804" s="589"/>
      <c r="D804" s="578">
        <v>1</v>
      </c>
      <c r="E804" s="579" t="s">
        <v>8</v>
      </c>
      <c r="F804" s="569">
        <v>1</v>
      </c>
      <c r="G804" s="590">
        <v>0.3</v>
      </c>
      <c r="H804" s="591">
        <v>0.9</v>
      </c>
      <c r="I804" s="591">
        <v>2.95</v>
      </c>
      <c r="J804" s="598">
        <f t="shared" si="61"/>
        <v>0.8</v>
      </c>
      <c r="K804" s="592"/>
    </row>
    <row r="805" spans="1:11">
      <c r="A805" s="568"/>
      <c r="B805" s="593" t="s">
        <v>1124</v>
      </c>
      <c r="C805" s="589"/>
      <c r="D805" s="578">
        <v>1</v>
      </c>
      <c r="E805" s="579" t="s">
        <v>8</v>
      </c>
      <c r="F805" s="569">
        <v>2</v>
      </c>
      <c r="G805" s="590">
        <v>0.23</v>
      </c>
      <c r="H805" s="591">
        <v>0.9</v>
      </c>
      <c r="I805" s="591">
        <v>2.95</v>
      </c>
      <c r="J805" s="598">
        <f t="shared" si="61"/>
        <v>1.23</v>
      </c>
      <c r="K805" s="592"/>
    </row>
    <row r="806" spans="1:11">
      <c r="A806" s="568"/>
      <c r="B806" s="593" t="s">
        <v>1125</v>
      </c>
      <c r="C806" s="589"/>
      <c r="D806" s="578">
        <v>1</v>
      </c>
      <c r="E806" s="579" t="s">
        <v>8</v>
      </c>
      <c r="F806" s="569">
        <v>1</v>
      </c>
      <c r="G806" s="590">
        <v>0.3</v>
      </c>
      <c r="H806" s="591">
        <v>1.1000000000000001</v>
      </c>
      <c r="I806" s="591">
        <v>2.95</v>
      </c>
      <c r="J806" s="598">
        <f t="shared" si="61"/>
        <v>0.98</v>
      </c>
      <c r="K806" s="592"/>
    </row>
    <row r="807" spans="1:11">
      <c r="A807" s="568"/>
      <c r="B807" s="593" t="s">
        <v>1128</v>
      </c>
      <c r="C807" s="589"/>
      <c r="D807" s="578">
        <v>1</v>
      </c>
      <c r="E807" s="579" t="s">
        <v>8</v>
      </c>
      <c r="F807" s="569">
        <v>1</v>
      </c>
      <c r="G807" s="590">
        <v>0.23</v>
      </c>
      <c r="H807" s="591">
        <v>0.75</v>
      </c>
      <c r="I807" s="591">
        <v>2.95</v>
      </c>
      <c r="J807" s="598">
        <f t="shared" si="61"/>
        <v>0.51</v>
      </c>
      <c r="K807" s="592"/>
    </row>
    <row r="808" spans="1:11">
      <c r="A808" s="568"/>
      <c r="B808" s="593"/>
      <c r="C808" s="589"/>
      <c r="G808" s="590"/>
      <c r="H808" s="591"/>
      <c r="I808" s="591"/>
      <c r="J808" s="605">
        <f>SUM(J793:J807)</f>
        <v>30.250000000000004</v>
      </c>
      <c r="K808" s="592"/>
    </row>
    <row r="809" spans="1:11">
      <c r="A809" s="568"/>
      <c r="B809" s="593"/>
      <c r="C809" s="589"/>
      <c r="G809" s="590"/>
      <c r="H809" s="591"/>
      <c r="I809" s="591"/>
      <c r="J809" s="605">
        <f>ROUNDUP(J808,0)</f>
        <v>31</v>
      </c>
      <c r="K809" s="592" t="s">
        <v>52</v>
      </c>
    </row>
    <row r="810" spans="1:11">
      <c r="A810" s="568"/>
      <c r="B810" s="584" t="s">
        <v>498</v>
      </c>
      <c r="C810" s="589"/>
      <c r="G810" s="590"/>
      <c r="H810" s="591"/>
      <c r="I810" s="591"/>
      <c r="J810" s="591"/>
      <c r="K810" s="592"/>
    </row>
    <row r="811" spans="1:11">
      <c r="A811" s="568"/>
      <c r="B811" s="593" t="s">
        <v>616</v>
      </c>
      <c r="C811" s="589"/>
      <c r="G811" s="616"/>
      <c r="H811" s="617"/>
      <c r="I811" s="617"/>
      <c r="J811" s="617"/>
      <c r="K811" s="592"/>
    </row>
    <row r="812" spans="1:11">
      <c r="A812" s="568"/>
      <c r="B812" s="593" t="s">
        <v>1022</v>
      </c>
      <c r="C812" s="589" t="s">
        <v>1130</v>
      </c>
      <c r="D812" s="578">
        <v>1</v>
      </c>
      <c r="E812" s="579" t="s">
        <v>8</v>
      </c>
      <c r="F812" s="569">
        <v>1</v>
      </c>
      <c r="G812" s="590">
        <v>27.9</v>
      </c>
      <c r="H812" s="591">
        <v>0.3</v>
      </c>
      <c r="I812" s="591">
        <v>0.75</v>
      </c>
      <c r="J812" s="591">
        <f t="shared" ref="J812:J836" si="62">PRODUCT(D812:I812)</f>
        <v>6.2774999999999999</v>
      </c>
      <c r="K812" s="592"/>
    </row>
    <row r="813" spans="1:11">
      <c r="A813" s="568"/>
      <c r="B813" s="593" t="s">
        <v>1022</v>
      </c>
      <c r="C813" s="589"/>
      <c r="D813" s="578">
        <v>1</v>
      </c>
      <c r="E813" s="579" t="s">
        <v>8</v>
      </c>
      <c r="F813" s="569">
        <v>1</v>
      </c>
      <c r="G813" s="590">
        <v>5.2750000000000004</v>
      </c>
      <c r="H813" s="591">
        <v>0.2</v>
      </c>
      <c r="I813" s="591">
        <v>0.6</v>
      </c>
      <c r="J813" s="591">
        <f t="shared" si="62"/>
        <v>0.63300000000000012</v>
      </c>
      <c r="K813" s="592"/>
    </row>
    <row r="814" spans="1:11">
      <c r="A814" s="568"/>
      <c r="B814" s="593" t="s">
        <v>1131</v>
      </c>
      <c r="C814" s="589" t="s">
        <v>1132</v>
      </c>
      <c r="D814" s="578">
        <v>1</v>
      </c>
      <c r="E814" s="579" t="s">
        <v>8</v>
      </c>
      <c r="F814" s="569">
        <v>1</v>
      </c>
      <c r="G814" s="590">
        <v>1.8</v>
      </c>
      <c r="H814" s="591">
        <v>0.2</v>
      </c>
      <c r="I814" s="591">
        <v>0.45</v>
      </c>
      <c r="J814" s="591">
        <f t="shared" si="62"/>
        <v>0.16200000000000003</v>
      </c>
      <c r="K814" s="592"/>
    </row>
    <row r="815" spans="1:11">
      <c r="A815" s="568"/>
      <c r="B815" s="593" t="s">
        <v>1131</v>
      </c>
      <c r="C815" s="589" t="s">
        <v>1133</v>
      </c>
      <c r="D815" s="578">
        <v>1</v>
      </c>
      <c r="E815" s="579" t="s">
        <v>8</v>
      </c>
      <c r="F815" s="569">
        <v>1</v>
      </c>
      <c r="G815" s="590">
        <v>3.875</v>
      </c>
      <c r="H815" s="591">
        <v>0.2</v>
      </c>
      <c r="I815" s="591">
        <v>0.45</v>
      </c>
      <c r="J815" s="591">
        <f t="shared" si="62"/>
        <v>0.34875</v>
      </c>
      <c r="K815" s="592"/>
    </row>
    <row r="816" spans="1:11">
      <c r="A816" s="568"/>
      <c r="B816" s="593" t="s">
        <v>1134</v>
      </c>
      <c r="C816" s="589" t="s">
        <v>1135</v>
      </c>
      <c r="D816" s="578">
        <v>1</v>
      </c>
      <c r="E816" s="579" t="s">
        <v>8</v>
      </c>
      <c r="F816" s="569">
        <v>1</v>
      </c>
      <c r="G816" s="590">
        <v>4.2300000000000004</v>
      </c>
      <c r="H816" s="591">
        <v>0.3</v>
      </c>
      <c r="I816" s="591">
        <v>0.75</v>
      </c>
      <c r="J816" s="591">
        <f t="shared" si="62"/>
        <v>0.9517500000000001</v>
      </c>
      <c r="K816" s="592"/>
    </row>
    <row r="817" spans="1:11">
      <c r="A817" s="568"/>
      <c r="B817" s="593" t="s">
        <v>1023</v>
      </c>
      <c r="C817" s="589" t="s">
        <v>1136</v>
      </c>
      <c r="D817" s="578">
        <v>1</v>
      </c>
      <c r="E817" s="579" t="s">
        <v>8</v>
      </c>
      <c r="F817" s="569">
        <v>1</v>
      </c>
      <c r="G817" s="590">
        <v>7.95</v>
      </c>
      <c r="H817" s="591">
        <v>0.3</v>
      </c>
      <c r="I817" s="591">
        <v>0.75</v>
      </c>
      <c r="J817" s="591">
        <f t="shared" si="62"/>
        <v>1.7887499999999998</v>
      </c>
      <c r="K817" s="592"/>
    </row>
    <row r="818" spans="1:11">
      <c r="A818" s="568"/>
      <c r="B818" s="593" t="s">
        <v>1028</v>
      </c>
      <c r="C818" s="589" t="s">
        <v>1137</v>
      </c>
      <c r="D818" s="578">
        <v>1</v>
      </c>
      <c r="E818" s="579" t="s">
        <v>8</v>
      </c>
      <c r="F818" s="569">
        <v>3</v>
      </c>
      <c r="G818" s="590">
        <v>5.0750000000000002</v>
      </c>
      <c r="H818" s="591">
        <v>0.2</v>
      </c>
      <c r="I818" s="591">
        <v>0.6</v>
      </c>
      <c r="J818" s="591">
        <f t="shared" si="62"/>
        <v>1.8270000000000002</v>
      </c>
      <c r="K818" s="592"/>
    </row>
    <row r="819" spans="1:11">
      <c r="A819" s="568"/>
      <c r="B819" s="593"/>
      <c r="C819" s="589" t="s">
        <v>1138</v>
      </c>
      <c r="D819" s="578">
        <v>1</v>
      </c>
      <c r="E819" s="579" t="s">
        <v>8</v>
      </c>
      <c r="F819" s="569">
        <v>6</v>
      </c>
      <c r="G819" s="590">
        <v>1.1000000000000001</v>
      </c>
      <c r="H819" s="591">
        <v>0.2</v>
      </c>
      <c r="I819" s="591">
        <v>0.45</v>
      </c>
      <c r="J819" s="591">
        <f t="shared" si="62"/>
        <v>0.59400000000000019</v>
      </c>
      <c r="K819" s="592"/>
    </row>
    <row r="820" spans="1:11">
      <c r="A820" s="568"/>
      <c r="B820" s="593"/>
      <c r="C820" s="589" t="s">
        <v>1139</v>
      </c>
      <c r="D820" s="578">
        <v>1</v>
      </c>
      <c r="E820" s="579" t="s">
        <v>8</v>
      </c>
      <c r="F820" s="569">
        <v>7</v>
      </c>
      <c r="G820" s="590">
        <v>2.2999999999999998</v>
      </c>
      <c r="H820" s="591">
        <v>0.2</v>
      </c>
      <c r="I820" s="591">
        <v>0.45</v>
      </c>
      <c r="J820" s="591">
        <f t="shared" si="62"/>
        <v>1.4489999999999998</v>
      </c>
      <c r="K820" s="592"/>
    </row>
    <row r="821" spans="1:11">
      <c r="A821" s="568"/>
      <c r="B821" s="593"/>
      <c r="C821" s="589" t="s">
        <v>1140</v>
      </c>
      <c r="D821" s="578">
        <v>1</v>
      </c>
      <c r="E821" s="579" t="s">
        <v>8</v>
      </c>
      <c r="F821" s="569">
        <v>1</v>
      </c>
      <c r="G821" s="590">
        <v>5.3</v>
      </c>
      <c r="H821" s="591">
        <v>0.2</v>
      </c>
      <c r="I821" s="591">
        <v>0.75</v>
      </c>
      <c r="J821" s="591">
        <f t="shared" si="62"/>
        <v>0.79500000000000004</v>
      </c>
      <c r="K821" s="592"/>
    </row>
    <row r="822" spans="1:11">
      <c r="A822" s="568"/>
      <c r="B822" s="593"/>
      <c r="C822" s="589" t="s">
        <v>1141</v>
      </c>
      <c r="D822" s="578">
        <v>1</v>
      </c>
      <c r="E822" s="579" t="s">
        <v>8</v>
      </c>
      <c r="F822" s="569">
        <v>1</v>
      </c>
      <c r="G822" s="590">
        <v>6.2</v>
      </c>
      <c r="H822" s="591">
        <v>0.2</v>
      </c>
      <c r="I822" s="591">
        <v>0.75</v>
      </c>
      <c r="J822" s="591">
        <f t="shared" si="62"/>
        <v>0.93000000000000016</v>
      </c>
      <c r="K822" s="592"/>
    </row>
    <row r="823" spans="1:11">
      <c r="A823" s="568"/>
      <c r="B823" s="593"/>
      <c r="C823" s="589" t="s">
        <v>1142</v>
      </c>
      <c r="D823" s="578">
        <v>1</v>
      </c>
      <c r="E823" s="579" t="s">
        <v>8</v>
      </c>
      <c r="F823" s="569">
        <v>1</v>
      </c>
      <c r="G823" s="590">
        <v>3.2</v>
      </c>
      <c r="H823" s="591">
        <v>0.2</v>
      </c>
      <c r="I823" s="591">
        <v>0.6</v>
      </c>
      <c r="J823" s="591">
        <f t="shared" si="62"/>
        <v>0.38400000000000006</v>
      </c>
      <c r="K823" s="592"/>
    </row>
    <row r="824" spans="1:11">
      <c r="A824" s="568"/>
      <c r="B824" s="593"/>
      <c r="C824" s="589" t="s">
        <v>1142</v>
      </c>
      <c r="D824" s="578">
        <v>1</v>
      </c>
      <c r="E824" s="579" t="s">
        <v>8</v>
      </c>
      <c r="F824" s="569">
        <v>1</v>
      </c>
      <c r="G824" s="590">
        <v>3.2</v>
      </c>
      <c r="H824" s="591">
        <v>0.2</v>
      </c>
      <c r="I824" s="591">
        <v>0.6</v>
      </c>
      <c r="J824" s="591">
        <f t="shared" si="62"/>
        <v>0.38400000000000006</v>
      </c>
      <c r="K824" s="592"/>
    </row>
    <row r="825" spans="1:11">
      <c r="A825" s="568"/>
      <c r="B825" s="593" t="s">
        <v>1030</v>
      </c>
      <c r="C825" s="589" t="s">
        <v>1143</v>
      </c>
      <c r="D825" s="578">
        <v>1</v>
      </c>
      <c r="E825" s="579" t="s">
        <v>8</v>
      </c>
      <c r="F825" s="569">
        <v>1</v>
      </c>
      <c r="G825" s="590">
        <v>20.408999999999999</v>
      </c>
      <c r="H825" s="591">
        <v>0.2</v>
      </c>
      <c r="I825" s="591">
        <v>0.375</v>
      </c>
      <c r="J825" s="591">
        <f t="shared" si="62"/>
        <v>1.530675</v>
      </c>
      <c r="K825" s="592"/>
    </row>
    <row r="826" spans="1:11">
      <c r="A826" s="568"/>
      <c r="B826" s="593" t="s">
        <v>577</v>
      </c>
      <c r="C826" s="589" t="s">
        <v>1144</v>
      </c>
      <c r="D826" s="578">
        <v>1</v>
      </c>
      <c r="E826" s="579" t="s">
        <v>8</v>
      </c>
      <c r="F826" s="569">
        <v>1</v>
      </c>
      <c r="G826" s="590">
        <v>20.408999999999999</v>
      </c>
      <c r="H826" s="591">
        <v>0.2</v>
      </c>
      <c r="I826" s="591">
        <v>0.45</v>
      </c>
      <c r="J826" s="591">
        <f t="shared" si="62"/>
        <v>1.8368100000000003</v>
      </c>
      <c r="K826" s="592"/>
    </row>
    <row r="827" spans="1:11">
      <c r="A827" s="568"/>
      <c r="B827" s="593"/>
      <c r="C827" s="589" t="s">
        <v>1145</v>
      </c>
      <c r="D827" s="578">
        <v>1</v>
      </c>
      <c r="E827" s="579" t="s">
        <v>8</v>
      </c>
      <c r="F827" s="569">
        <v>1</v>
      </c>
      <c r="G827" s="590">
        <v>7.3</v>
      </c>
      <c r="H827" s="591">
        <v>0.2</v>
      </c>
      <c r="I827" s="591">
        <v>0.75</v>
      </c>
      <c r="J827" s="591">
        <f t="shared" si="62"/>
        <v>1.095</v>
      </c>
      <c r="K827" s="592"/>
    </row>
    <row r="828" spans="1:11">
      <c r="A828" s="568"/>
      <c r="B828" s="593" t="s">
        <v>574</v>
      </c>
      <c r="C828" s="589" t="s">
        <v>1146</v>
      </c>
      <c r="D828" s="578">
        <v>1</v>
      </c>
      <c r="E828" s="579" t="s">
        <v>8</v>
      </c>
      <c r="F828" s="569">
        <v>1</v>
      </c>
      <c r="G828" s="590">
        <v>20.408999999999999</v>
      </c>
      <c r="H828" s="591">
        <v>0.2</v>
      </c>
      <c r="I828" s="591">
        <v>0.45</v>
      </c>
      <c r="J828" s="591">
        <f t="shared" si="62"/>
        <v>1.8368100000000003</v>
      </c>
      <c r="K828" s="592"/>
    </row>
    <row r="829" spans="1:11">
      <c r="A829" s="568"/>
      <c r="B829" s="593" t="s">
        <v>491</v>
      </c>
      <c r="C829" s="589" t="s">
        <v>1147</v>
      </c>
      <c r="D829" s="578">
        <v>1</v>
      </c>
      <c r="E829" s="579" t="s">
        <v>8</v>
      </c>
      <c r="F829" s="569">
        <v>1</v>
      </c>
      <c r="G829" s="590">
        <v>1.9</v>
      </c>
      <c r="H829" s="591">
        <v>0.2</v>
      </c>
      <c r="I829" s="591">
        <v>0.45</v>
      </c>
      <c r="J829" s="591">
        <f t="shared" si="62"/>
        <v>0.17100000000000001</v>
      </c>
      <c r="K829" s="592"/>
    </row>
    <row r="830" spans="1:11">
      <c r="A830" s="568"/>
      <c r="B830" s="593"/>
      <c r="C830" s="589" t="s">
        <v>1147</v>
      </c>
      <c r="D830" s="578">
        <v>1</v>
      </c>
      <c r="E830" s="579" t="s">
        <v>8</v>
      </c>
      <c r="F830" s="569">
        <v>1</v>
      </c>
      <c r="G830" s="590">
        <v>6.6</v>
      </c>
      <c r="H830" s="591">
        <v>0.2</v>
      </c>
      <c r="I830" s="591">
        <v>0.6</v>
      </c>
      <c r="J830" s="591">
        <f t="shared" si="62"/>
        <v>0.79200000000000004</v>
      </c>
      <c r="K830" s="592"/>
    </row>
    <row r="831" spans="1:11">
      <c r="A831" s="568"/>
      <c r="B831" s="593" t="s">
        <v>547</v>
      </c>
      <c r="C831" s="589" t="s">
        <v>1148</v>
      </c>
      <c r="D831" s="578">
        <v>1</v>
      </c>
      <c r="E831" s="579" t="s">
        <v>8</v>
      </c>
      <c r="F831" s="569">
        <v>1</v>
      </c>
      <c r="G831" s="590">
        <v>3.7</v>
      </c>
      <c r="H831" s="591">
        <v>0.2</v>
      </c>
      <c r="I831" s="591">
        <v>0.45</v>
      </c>
      <c r="J831" s="591">
        <f t="shared" si="62"/>
        <v>0.33300000000000007</v>
      </c>
      <c r="K831" s="592"/>
    </row>
    <row r="832" spans="1:11">
      <c r="A832" s="568"/>
      <c r="B832" s="593"/>
      <c r="C832" s="589" t="s">
        <v>1149</v>
      </c>
      <c r="D832" s="578">
        <v>1</v>
      </c>
      <c r="E832" s="579" t="s">
        <v>8</v>
      </c>
      <c r="F832" s="569">
        <v>1</v>
      </c>
      <c r="G832" s="590">
        <v>3.7</v>
      </c>
      <c r="H832" s="591">
        <v>0.2</v>
      </c>
      <c r="I832" s="591">
        <v>0.45</v>
      </c>
      <c r="J832" s="591">
        <f t="shared" si="62"/>
        <v>0.33300000000000007</v>
      </c>
      <c r="K832" s="592"/>
    </row>
    <row r="833" spans="1:11">
      <c r="A833" s="568"/>
      <c r="B833" s="593" t="s">
        <v>548</v>
      </c>
      <c r="C833" s="589" t="s">
        <v>1150</v>
      </c>
      <c r="D833" s="578">
        <v>1</v>
      </c>
      <c r="E833" s="579" t="s">
        <v>8</v>
      </c>
      <c r="F833" s="569">
        <v>1</v>
      </c>
      <c r="G833" s="590">
        <v>1.7</v>
      </c>
      <c r="H833" s="591">
        <v>0.2</v>
      </c>
      <c r="I833" s="591">
        <v>0.375</v>
      </c>
      <c r="J833" s="591">
        <f t="shared" si="62"/>
        <v>0.1275</v>
      </c>
      <c r="K833" s="592"/>
    </row>
    <row r="834" spans="1:11">
      <c r="A834" s="568"/>
      <c r="B834" s="593"/>
      <c r="C834" s="589" t="s">
        <v>1150</v>
      </c>
      <c r="D834" s="578">
        <v>1</v>
      </c>
      <c r="E834" s="579" t="s">
        <v>8</v>
      </c>
      <c r="F834" s="569">
        <v>1</v>
      </c>
      <c r="G834" s="590">
        <v>6.8</v>
      </c>
      <c r="H834" s="591">
        <v>0.2</v>
      </c>
      <c r="I834" s="591">
        <v>0.6</v>
      </c>
      <c r="J834" s="591">
        <f t="shared" si="62"/>
        <v>0.81600000000000006</v>
      </c>
      <c r="K834" s="592"/>
    </row>
    <row r="835" spans="1:11">
      <c r="A835" s="568"/>
      <c r="B835" s="593" t="s">
        <v>583</v>
      </c>
      <c r="C835" s="589" t="s">
        <v>1151</v>
      </c>
      <c r="D835" s="578">
        <v>1</v>
      </c>
      <c r="E835" s="579" t="s">
        <v>8</v>
      </c>
      <c r="F835" s="569">
        <v>1</v>
      </c>
      <c r="G835" s="590">
        <v>24.375</v>
      </c>
      <c r="H835" s="591">
        <v>0.2</v>
      </c>
      <c r="I835" s="591">
        <v>0.45</v>
      </c>
      <c r="J835" s="591">
        <f t="shared" si="62"/>
        <v>2.1937500000000001</v>
      </c>
      <c r="K835" s="592"/>
    </row>
    <row r="836" spans="1:11">
      <c r="A836" s="568"/>
      <c r="B836" s="593" t="s">
        <v>583</v>
      </c>
      <c r="C836" s="589" t="s">
        <v>1151</v>
      </c>
      <c r="D836" s="578">
        <v>1</v>
      </c>
      <c r="E836" s="579" t="s">
        <v>8</v>
      </c>
      <c r="F836" s="569">
        <v>1</v>
      </c>
      <c r="G836" s="590">
        <v>8.3000000000000007</v>
      </c>
      <c r="H836" s="591">
        <v>0.2</v>
      </c>
      <c r="I836" s="591">
        <v>0.6</v>
      </c>
      <c r="J836" s="591">
        <f t="shared" si="62"/>
        <v>0.996</v>
      </c>
      <c r="K836" s="592"/>
    </row>
    <row r="837" spans="1:11">
      <c r="A837" s="568"/>
      <c r="B837" s="593" t="s">
        <v>617</v>
      </c>
      <c r="C837" s="589"/>
      <c r="G837" s="590"/>
      <c r="H837" s="591"/>
      <c r="I837" s="591"/>
      <c r="J837" s="591"/>
      <c r="K837" s="592"/>
    </row>
    <row r="838" spans="1:11">
      <c r="A838" s="568"/>
      <c r="B838" s="593" t="s">
        <v>1153</v>
      </c>
      <c r="C838" s="589" t="s">
        <v>1154</v>
      </c>
      <c r="D838" s="578">
        <v>1</v>
      </c>
      <c r="E838" s="579" t="s">
        <v>8</v>
      </c>
      <c r="F838" s="569">
        <v>1</v>
      </c>
      <c r="G838" s="590">
        <v>20.399999999999999</v>
      </c>
      <c r="H838" s="591">
        <v>0.2</v>
      </c>
      <c r="I838" s="591">
        <v>0.45</v>
      </c>
      <c r="J838" s="591">
        <f t="shared" ref="J838:J856" si="63">PRODUCT(D838:I838)</f>
        <v>1.8360000000000001</v>
      </c>
      <c r="K838" s="592"/>
    </row>
    <row r="839" spans="1:11">
      <c r="A839" s="568"/>
      <c r="B839" s="593" t="s">
        <v>1155</v>
      </c>
      <c r="C839" s="589" t="s">
        <v>1156</v>
      </c>
      <c r="D839" s="578">
        <v>1</v>
      </c>
      <c r="E839" s="579" t="s">
        <v>8</v>
      </c>
      <c r="F839" s="569">
        <v>1</v>
      </c>
      <c r="G839" s="590">
        <v>16.841999999999999</v>
      </c>
      <c r="H839" s="591">
        <v>0.2</v>
      </c>
      <c r="I839" s="591">
        <v>0.45</v>
      </c>
      <c r="J839" s="591">
        <f t="shared" si="63"/>
        <v>1.5157799999999999</v>
      </c>
      <c r="K839" s="592"/>
    </row>
    <row r="840" spans="1:11">
      <c r="A840" s="568"/>
      <c r="B840" s="593"/>
      <c r="C840" s="589" t="s">
        <v>1157</v>
      </c>
      <c r="D840" s="578">
        <v>1</v>
      </c>
      <c r="E840" s="579" t="s">
        <v>8</v>
      </c>
      <c r="F840" s="569">
        <v>1</v>
      </c>
      <c r="G840" s="590">
        <v>3.6989999999999998</v>
      </c>
      <c r="H840" s="591">
        <v>0.2</v>
      </c>
      <c r="I840" s="591">
        <v>0.6</v>
      </c>
      <c r="J840" s="591">
        <f t="shared" si="63"/>
        <v>0.44388</v>
      </c>
      <c r="K840" s="592"/>
    </row>
    <row r="841" spans="1:11">
      <c r="A841" s="568"/>
      <c r="B841" s="593"/>
      <c r="C841" s="589" t="s">
        <v>1158</v>
      </c>
      <c r="D841" s="578">
        <v>1</v>
      </c>
      <c r="E841" s="579" t="s">
        <v>8</v>
      </c>
      <c r="F841" s="569">
        <v>1</v>
      </c>
      <c r="G841" s="590">
        <v>16.800999999999998</v>
      </c>
      <c r="H841" s="591">
        <v>0.2</v>
      </c>
      <c r="I841" s="591">
        <v>0.45</v>
      </c>
      <c r="J841" s="591">
        <f t="shared" si="63"/>
        <v>1.5120899999999999</v>
      </c>
      <c r="K841" s="592"/>
    </row>
    <row r="842" spans="1:11">
      <c r="A842" s="568"/>
      <c r="B842" s="593"/>
      <c r="C842" s="589" t="s">
        <v>1159</v>
      </c>
      <c r="D842" s="578">
        <v>1</v>
      </c>
      <c r="E842" s="579" t="s">
        <v>8</v>
      </c>
      <c r="F842" s="569">
        <v>1</v>
      </c>
      <c r="G842" s="590">
        <v>16.800999999999998</v>
      </c>
      <c r="H842" s="591">
        <v>0.2</v>
      </c>
      <c r="I842" s="591">
        <v>0.45</v>
      </c>
      <c r="J842" s="591">
        <f t="shared" si="63"/>
        <v>1.5120899999999999</v>
      </c>
      <c r="K842" s="592"/>
    </row>
    <row r="843" spans="1:11">
      <c r="A843" s="568"/>
      <c r="B843" s="593" t="s">
        <v>1160</v>
      </c>
      <c r="C843" s="589" t="s">
        <v>1161</v>
      </c>
      <c r="D843" s="578">
        <v>1</v>
      </c>
      <c r="E843" s="579" t="s">
        <v>8</v>
      </c>
      <c r="F843" s="569">
        <v>1</v>
      </c>
      <c r="G843" s="590">
        <v>7</v>
      </c>
      <c r="H843" s="591">
        <v>0.23</v>
      </c>
      <c r="I843" s="591">
        <v>0.75</v>
      </c>
      <c r="J843" s="591">
        <f t="shared" si="63"/>
        <v>1.2075</v>
      </c>
      <c r="K843" s="592"/>
    </row>
    <row r="844" spans="1:11">
      <c r="A844" s="568"/>
      <c r="B844" s="593"/>
      <c r="C844" s="589" t="s">
        <v>1161</v>
      </c>
      <c r="D844" s="578">
        <v>1</v>
      </c>
      <c r="E844" s="579" t="s">
        <v>8</v>
      </c>
      <c r="F844" s="569">
        <v>1</v>
      </c>
      <c r="G844" s="590">
        <v>16.800999999999998</v>
      </c>
      <c r="H844" s="591">
        <v>0.2</v>
      </c>
      <c r="I844" s="591">
        <v>0.45</v>
      </c>
      <c r="J844" s="591">
        <f t="shared" si="63"/>
        <v>1.5120899999999999</v>
      </c>
      <c r="K844" s="592"/>
    </row>
    <row r="845" spans="1:11">
      <c r="A845" s="568"/>
      <c r="B845" s="593"/>
      <c r="C845" s="589" t="s">
        <v>1162</v>
      </c>
      <c r="D845" s="578">
        <v>1</v>
      </c>
      <c r="E845" s="579" t="s">
        <v>8</v>
      </c>
      <c r="F845" s="569">
        <v>1</v>
      </c>
      <c r="G845" s="590">
        <v>2.2999999999999998</v>
      </c>
      <c r="H845" s="591">
        <v>0.2</v>
      </c>
      <c r="I845" s="591">
        <v>0.45</v>
      </c>
      <c r="J845" s="591">
        <f t="shared" si="63"/>
        <v>0.20699999999999999</v>
      </c>
      <c r="K845" s="592"/>
    </row>
    <row r="846" spans="1:11">
      <c r="A846" s="568"/>
      <c r="B846" s="593"/>
      <c r="C846" s="589" t="s">
        <v>1163</v>
      </c>
      <c r="D846" s="578">
        <v>1</v>
      </c>
      <c r="E846" s="579" t="s">
        <v>8</v>
      </c>
      <c r="F846" s="569">
        <v>2</v>
      </c>
      <c r="G846" s="590">
        <v>5.6</v>
      </c>
      <c r="H846" s="591">
        <v>0.2</v>
      </c>
      <c r="I846" s="591">
        <v>0.6</v>
      </c>
      <c r="J846" s="591">
        <f t="shared" si="63"/>
        <v>1.3439999999999999</v>
      </c>
      <c r="K846" s="592"/>
    </row>
    <row r="847" spans="1:11">
      <c r="A847" s="568"/>
      <c r="B847" s="593"/>
      <c r="C847" s="589" t="s">
        <v>1163</v>
      </c>
      <c r="D847" s="578">
        <v>1</v>
      </c>
      <c r="E847" s="579" t="s">
        <v>8</v>
      </c>
      <c r="F847" s="569">
        <v>2</v>
      </c>
      <c r="G847" s="590">
        <v>2.1</v>
      </c>
      <c r="H847" s="591">
        <v>0.2</v>
      </c>
      <c r="I847" s="591">
        <v>0.45</v>
      </c>
      <c r="J847" s="591">
        <f t="shared" si="63"/>
        <v>0.37800000000000006</v>
      </c>
      <c r="K847" s="592"/>
    </row>
    <row r="848" spans="1:11">
      <c r="A848" s="568"/>
      <c r="B848" s="593" t="s">
        <v>1164</v>
      </c>
      <c r="C848" s="589" t="s">
        <v>1165</v>
      </c>
      <c r="D848" s="578">
        <v>1</v>
      </c>
      <c r="E848" s="579" t="s">
        <v>8</v>
      </c>
      <c r="F848" s="569">
        <v>5</v>
      </c>
      <c r="G848" s="590">
        <v>6.8</v>
      </c>
      <c r="H848" s="591">
        <v>0.2</v>
      </c>
      <c r="I848" s="591">
        <v>0.6</v>
      </c>
      <c r="J848" s="591">
        <f t="shared" si="63"/>
        <v>4.08</v>
      </c>
      <c r="K848" s="592"/>
    </row>
    <row r="849" spans="1:11">
      <c r="A849" s="568"/>
      <c r="B849" s="593" t="s">
        <v>1164</v>
      </c>
      <c r="C849" s="589" t="s">
        <v>1166</v>
      </c>
      <c r="D849" s="578">
        <v>1</v>
      </c>
      <c r="E849" s="579" t="s">
        <v>8</v>
      </c>
      <c r="F849" s="569">
        <v>5</v>
      </c>
      <c r="G849" s="590">
        <v>1.7</v>
      </c>
      <c r="H849" s="591">
        <v>0.2</v>
      </c>
      <c r="I849" s="591">
        <v>0.45</v>
      </c>
      <c r="J849" s="591">
        <f t="shared" si="63"/>
        <v>0.76500000000000012</v>
      </c>
      <c r="K849" s="592"/>
    </row>
    <row r="850" spans="1:11">
      <c r="A850" s="568"/>
      <c r="B850" s="593"/>
      <c r="C850" s="589" t="s">
        <v>1167</v>
      </c>
      <c r="D850" s="578">
        <v>1</v>
      </c>
      <c r="E850" s="579" t="s">
        <v>8</v>
      </c>
      <c r="F850" s="569">
        <v>3</v>
      </c>
      <c r="G850" s="590">
        <v>5.6</v>
      </c>
      <c r="H850" s="591">
        <v>0.2</v>
      </c>
      <c r="I850" s="591">
        <v>0.6</v>
      </c>
      <c r="J850" s="591">
        <f t="shared" si="63"/>
        <v>2.0159999999999996</v>
      </c>
      <c r="K850" s="592"/>
    </row>
    <row r="851" spans="1:11">
      <c r="A851" s="568"/>
      <c r="B851" s="593" t="s">
        <v>1168</v>
      </c>
      <c r="C851" s="589" t="s">
        <v>1167</v>
      </c>
      <c r="D851" s="578">
        <v>1</v>
      </c>
      <c r="E851" s="579" t="s">
        <v>8</v>
      </c>
      <c r="F851" s="569">
        <v>3</v>
      </c>
      <c r="G851" s="590">
        <f>2.1+5</f>
        <v>7.1</v>
      </c>
      <c r="H851" s="591">
        <v>0.2</v>
      </c>
      <c r="I851" s="591">
        <v>0.45</v>
      </c>
      <c r="J851" s="591">
        <f t="shared" si="63"/>
        <v>1.917</v>
      </c>
      <c r="K851" s="592"/>
    </row>
    <row r="852" spans="1:11">
      <c r="A852" s="568"/>
      <c r="B852" s="593"/>
      <c r="C852" s="589" t="s">
        <v>1169</v>
      </c>
      <c r="D852" s="578">
        <v>1</v>
      </c>
      <c r="E852" s="579" t="s">
        <v>8</v>
      </c>
      <c r="F852" s="569">
        <v>2</v>
      </c>
      <c r="G852" s="590">
        <v>12.28</v>
      </c>
      <c r="H852" s="591">
        <v>0.2</v>
      </c>
      <c r="I852" s="591">
        <v>0.375</v>
      </c>
      <c r="J852" s="591">
        <f t="shared" si="63"/>
        <v>1.8420000000000001</v>
      </c>
      <c r="K852" s="592"/>
    </row>
    <row r="853" spans="1:11">
      <c r="A853" s="568"/>
      <c r="B853" s="593"/>
      <c r="C853" s="589" t="s">
        <v>1170</v>
      </c>
      <c r="D853" s="578">
        <v>1</v>
      </c>
      <c r="E853" s="579" t="s">
        <v>8</v>
      </c>
      <c r="F853" s="569">
        <v>6</v>
      </c>
      <c r="G853" s="590">
        <v>1.7</v>
      </c>
      <c r="H853" s="591">
        <v>0.2</v>
      </c>
      <c r="I853" s="591">
        <v>0.45</v>
      </c>
      <c r="J853" s="591">
        <f t="shared" si="63"/>
        <v>0.91800000000000004</v>
      </c>
      <c r="K853" s="592"/>
    </row>
    <row r="854" spans="1:11">
      <c r="A854" s="568"/>
      <c r="B854" s="593"/>
      <c r="C854" s="589" t="s">
        <v>1171</v>
      </c>
      <c r="D854" s="578">
        <v>1</v>
      </c>
      <c r="E854" s="579" t="s">
        <v>8</v>
      </c>
      <c r="F854" s="569">
        <v>1</v>
      </c>
      <c r="G854" s="590">
        <v>8.2430000000000003</v>
      </c>
      <c r="H854" s="591">
        <v>0.2</v>
      </c>
      <c r="I854" s="591">
        <v>0.45</v>
      </c>
      <c r="J854" s="591">
        <f t="shared" si="63"/>
        <v>0.74187000000000003</v>
      </c>
      <c r="K854" s="592"/>
    </row>
    <row r="855" spans="1:11">
      <c r="A855" s="568"/>
      <c r="B855" s="593"/>
      <c r="C855" s="589" t="s">
        <v>1172</v>
      </c>
      <c r="D855" s="578">
        <v>1</v>
      </c>
      <c r="E855" s="579" t="s">
        <v>8</v>
      </c>
      <c r="F855" s="569">
        <v>1</v>
      </c>
      <c r="G855" s="590">
        <v>8.2430000000000003</v>
      </c>
      <c r="H855" s="591">
        <v>0.2</v>
      </c>
      <c r="I855" s="591">
        <v>0.9</v>
      </c>
      <c r="J855" s="591">
        <f t="shared" si="63"/>
        <v>1.4837400000000001</v>
      </c>
      <c r="K855" s="592"/>
    </row>
    <row r="856" spans="1:11">
      <c r="A856" s="568"/>
      <c r="B856" s="593"/>
      <c r="C856" s="589" t="s">
        <v>1173</v>
      </c>
      <c r="D856" s="578">
        <v>1</v>
      </c>
      <c r="E856" s="579" t="s">
        <v>8</v>
      </c>
      <c r="F856" s="569">
        <v>4</v>
      </c>
      <c r="G856" s="590">
        <v>4.2</v>
      </c>
      <c r="H856" s="591">
        <v>0.3</v>
      </c>
      <c r="I856" s="591">
        <v>0.6</v>
      </c>
      <c r="J856" s="591">
        <f t="shared" si="63"/>
        <v>3.024</v>
      </c>
      <c r="K856" s="592"/>
    </row>
    <row r="857" spans="1:11">
      <c r="A857" s="568"/>
      <c r="B857" s="593" t="s">
        <v>1588</v>
      </c>
      <c r="C857" s="589"/>
      <c r="G857" s="590"/>
      <c r="H857" s="591"/>
      <c r="I857" s="591"/>
      <c r="J857" s="591"/>
      <c r="K857" s="592"/>
    </row>
    <row r="858" spans="1:11">
      <c r="A858" s="568"/>
      <c r="B858" s="593" t="s">
        <v>1112</v>
      </c>
      <c r="C858" s="589"/>
      <c r="D858" s="578">
        <v>-1</v>
      </c>
      <c r="E858" s="579" t="s">
        <v>8</v>
      </c>
      <c r="F858" s="569">
        <v>7</v>
      </c>
      <c r="G858" s="590">
        <v>0.2</v>
      </c>
      <c r="H858" s="591">
        <v>1.2</v>
      </c>
      <c r="I858" s="591">
        <v>0.54400000000000004</v>
      </c>
      <c r="J858" s="598">
        <f t="shared" ref="J858:J872" si="64">ROUNDUP(PRODUCT(D858:I858),2)</f>
        <v>-0.92</v>
      </c>
      <c r="K858" s="568" t="s">
        <v>1589</v>
      </c>
    </row>
    <row r="859" spans="1:11">
      <c r="A859" s="568"/>
      <c r="B859" s="593" t="s">
        <v>1113</v>
      </c>
      <c r="C859" s="589"/>
      <c r="D859" s="578">
        <v>-1</v>
      </c>
      <c r="E859" s="579" t="s">
        <v>8</v>
      </c>
      <c r="F859" s="569">
        <v>2</v>
      </c>
      <c r="G859" s="590">
        <v>0.2</v>
      </c>
      <c r="H859" s="591">
        <v>1.2</v>
      </c>
      <c r="I859" s="591">
        <v>0.54400000000000004</v>
      </c>
      <c r="J859" s="598">
        <f t="shared" si="64"/>
        <v>-0.27</v>
      </c>
      <c r="K859" s="568" t="s">
        <v>1589</v>
      </c>
    </row>
    <row r="860" spans="1:11">
      <c r="A860" s="568"/>
      <c r="B860" s="593" t="s">
        <v>1114</v>
      </c>
      <c r="C860" s="589"/>
      <c r="D860" s="578">
        <v>-1</v>
      </c>
      <c r="E860" s="579" t="s">
        <v>8</v>
      </c>
      <c r="F860" s="569">
        <v>4</v>
      </c>
      <c r="G860" s="590">
        <v>0.2</v>
      </c>
      <c r="H860" s="591">
        <v>1</v>
      </c>
      <c r="I860" s="591">
        <v>0.54400000000000004</v>
      </c>
      <c r="J860" s="598">
        <f t="shared" si="64"/>
        <v>-0.44</v>
      </c>
      <c r="K860" s="568" t="s">
        <v>1589</v>
      </c>
    </row>
    <row r="861" spans="1:11">
      <c r="A861" s="568"/>
      <c r="B861" s="593" t="s">
        <v>1115</v>
      </c>
      <c r="C861" s="589"/>
      <c r="D861" s="578">
        <v>-1</v>
      </c>
      <c r="E861" s="579" t="s">
        <v>8</v>
      </c>
      <c r="F861" s="569">
        <v>2</v>
      </c>
      <c r="G861" s="590">
        <v>0.2</v>
      </c>
      <c r="H861" s="591">
        <v>1</v>
      </c>
      <c r="I861" s="591">
        <v>0.54400000000000004</v>
      </c>
      <c r="J861" s="598">
        <f t="shared" si="64"/>
        <v>-0.22</v>
      </c>
      <c r="K861" s="568" t="s">
        <v>1589</v>
      </c>
    </row>
    <row r="862" spans="1:11">
      <c r="A862" s="568"/>
      <c r="B862" s="593" t="s">
        <v>1116</v>
      </c>
      <c r="C862" s="589"/>
      <c r="D862" s="578">
        <v>-1</v>
      </c>
      <c r="E862" s="579" t="s">
        <v>8</v>
      </c>
      <c r="F862" s="569">
        <f>4+5</f>
        <v>9</v>
      </c>
      <c r="G862" s="590">
        <v>0.2</v>
      </c>
      <c r="H862" s="591">
        <v>0.9</v>
      </c>
      <c r="I862" s="591">
        <v>0.54400000000000004</v>
      </c>
      <c r="J862" s="598">
        <f t="shared" si="64"/>
        <v>-0.89</v>
      </c>
      <c r="K862" s="568" t="s">
        <v>1589</v>
      </c>
    </row>
    <row r="863" spans="1:11">
      <c r="A863" s="568"/>
      <c r="B863" s="593" t="s">
        <v>1117</v>
      </c>
      <c r="C863" s="589"/>
      <c r="D863" s="578">
        <v>-1</v>
      </c>
      <c r="E863" s="579" t="s">
        <v>8</v>
      </c>
      <c r="F863" s="569">
        <v>3</v>
      </c>
      <c r="G863" s="590">
        <v>0.2</v>
      </c>
      <c r="H863" s="591">
        <v>0.9</v>
      </c>
      <c r="I863" s="591">
        <v>0.54400000000000004</v>
      </c>
      <c r="J863" s="598">
        <f t="shared" si="64"/>
        <v>-0.3</v>
      </c>
      <c r="K863" s="568" t="s">
        <v>1589</v>
      </c>
    </row>
    <row r="864" spans="1:11">
      <c r="A864" s="568"/>
      <c r="B864" s="593" t="s">
        <v>1118</v>
      </c>
      <c r="C864" s="589"/>
      <c r="D864" s="578">
        <v>-1</v>
      </c>
      <c r="E864" s="579" t="s">
        <v>8</v>
      </c>
      <c r="F864" s="569">
        <f>3+2</f>
        <v>5</v>
      </c>
      <c r="G864" s="590">
        <v>0.2</v>
      </c>
      <c r="H864" s="591">
        <v>0.8</v>
      </c>
      <c r="I864" s="591">
        <v>0.54400000000000004</v>
      </c>
      <c r="J864" s="598">
        <f t="shared" si="64"/>
        <v>-0.44</v>
      </c>
      <c r="K864" s="568" t="s">
        <v>1589</v>
      </c>
    </row>
    <row r="865" spans="1:11">
      <c r="A865" s="568"/>
      <c r="B865" s="593" t="s">
        <v>1119</v>
      </c>
      <c r="C865" s="589"/>
      <c r="D865" s="578">
        <v>-1</v>
      </c>
      <c r="E865" s="579" t="s">
        <v>8</v>
      </c>
      <c r="F865" s="569">
        <v>7</v>
      </c>
      <c r="G865" s="590">
        <v>0.2</v>
      </c>
      <c r="H865" s="591">
        <v>0.75</v>
      </c>
      <c r="I865" s="591">
        <v>0.54400000000000004</v>
      </c>
      <c r="J865" s="598">
        <f t="shared" si="64"/>
        <v>-0.57999999999999996</v>
      </c>
      <c r="K865" s="568" t="s">
        <v>1589</v>
      </c>
    </row>
    <row r="866" spans="1:11">
      <c r="A866" s="568"/>
      <c r="B866" s="593" t="s">
        <v>1120</v>
      </c>
      <c r="C866" s="589"/>
      <c r="D866" s="578">
        <v>-1</v>
      </c>
      <c r="E866" s="579" t="s">
        <v>8</v>
      </c>
      <c r="F866" s="569">
        <f>2</f>
        <v>2</v>
      </c>
      <c r="G866" s="590">
        <v>0.2</v>
      </c>
      <c r="H866" s="591">
        <v>0.6</v>
      </c>
      <c r="I866" s="591">
        <v>0.54400000000000004</v>
      </c>
      <c r="J866" s="598">
        <f t="shared" si="64"/>
        <v>-0.14000000000000001</v>
      </c>
      <c r="K866" s="568" t="s">
        <v>1589</v>
      </c>
    </row>
    <row r="867" spans="1:11">
      <c r="A867" s="568"/>
      <c r="B867" s="593" t="s">
        <v>1121</v>
      </c>
      <c r="C867" s="589"/>
      <c r="D867" s="578">
        <v>-1</v>
      </c>
      <c r="E867" s="579" t="s">
        <v>8</v>
      </c>
      <c r="F867" s="569">
        <v>3</v>
      </c>
      <c r="G867" s="590">
        <v>0.2</v>
      </c>
      <c r="H867" s="591">
        <v>0.6</v>
      </c>
      <c r="I867" s="591">
        <v>0.54400000000000004</v>
      </c>
      <c r="J867" s="598">
        <f t="shared" si="64"/>
        <v>-0.2</v>
      </c>
      <c r="K867" s="568" t="s">
        <v>1589</v>
      </c>
    </row>
    <row r="868" spans="1:11">
      <c r="A868" s="568"/>
      <c r="B868" s="593" t="s">
        <v>1122</v>
      </c>
      <c r="C868" s="589"/>
      <c r="D868" s="578">
        <v>-1</v>
      </c>
      <c r="E868" s="579" t="s">
        <v>8</v>
      </c>
      <c r="F868" s="569">
        <v>6</v>
      </c>
      <c r="G868" s="590">
        <v>0.2</v>
      </c>
      <c r="H868" s="591">
        <v>0.9</v>
      </c>
      <c r="I868" s="591">
        <v>0.54400000000000004</v>
      </c>
      <c r="J868" s="598">
        <f t="shared" si="64"/>
        <v>-0.59</v>
      </c>
      <c r="K868" s="568" t="s">
        <v>1589</v>
      </c>
    </row>
    <row r="869" spans="1:11">
      <c r="A869" s="568"/>
      <c r="B869" s="593" t="s">
        <v>1123</v>
      </c>
      <c r="C869" s="589"/>
      <c r="D869" s="578">
        <v>-1</v>
      </c>
      <c r="E869" s="579" t="s">
        <v>8</v>
      </c>
      <c r="F869" s="569">
        <v>1</v>
      </c>
      <c r="G869" s="590">
        <v>0.3</v>
      </c>
      <c r="H869" s="591">
        <v>0.9</v>
      </c>
      <c r="I869" s="591">
        <v>0.54400000000000004</v>
      </c>
      <c r="J869" s="598">
        <f t="shared" si="64"/>
        <v>-0.15000000000000002</v>
      </c>
      <c r="K869" s="568" t="s">
        <v>1589</v>
      </c>
    </row>
    <row r="870" spans="1:11">
      <c r="A870" s="568"/>
      <c r="B870" s="593" t="s">
        <v>1124</v>
      </c>
      <c r="C870" s="589"/>
      <c r="D870" s="578">
        <v>-1</v>
      </c>
      <c r="E870" s="579" t="s">
        <v>8</v>
      </c>
      <c r="F870" s="569">
        <v>2</v>
      </c>
      <c r="G870" s="590">
        <v>0.23</v>
      </c>
      <c r="H870" s="591">
        <v>0.9</v>
      </c>
      <c r="I870" s="591">
        <v>0.54400000000000004</v>
      </c>
      <c r="J870" s="598">
        <f t="shared" si="64"/>
        <v>-0.23</v>
      </c>
      <c r="K870" s="568" t="s">
        <v>1589</v>
      </c>
    </row>
    <row r="871" spans="1:11">
      <c r="A871" s="568"/>
      <c r="B871" s="593" t="s">
        <v>1125</v>
      </c>
      <c r="C871" s="589"/>
      <c r="D871" s="578">
        <v>-1</v>
      </c>
      <c r="E871" s="579" t="s">
        <v>8</v>
      </c>
      <c r="F871" s="569">
        <v>1</v>
      </c>
      <c r="G871" s="590">
        <v>0.3</v>
      </c>
      <c r="H871" s="591">
        <v>1.1000000000000001</v>
      </c>
      <c r="I871" s="591">
        <v>0.54400000000000004</v>
      </c>
      <c r="J871" s="598">
        <f t="shared" si="64"/>
        <v>-0.18000000000000002</v>
      </c>
      <c r="K871" s="568" t="s">
        <v>1589</v>
      </c>
    </row>
    <row r="872" spans="1:11">
      <c r="A872" s="568"/>
      <c r="B872" s="593" t="s">
        <v>1128</v>
      </c>
      <c r="C872" s="589"/>
      <c r="D872" s="578">
        <v>-1</v>
      </c>
      <c r="E872" s="579" t="s">
        <v>8</v>
      </c>
      <c r="F872" s="569">
        <v>1</v>
      </c>
      <c r="G872" s="590">
        <v>0.23</v>
      </c>
      <c r="H872" s="591">
        <v>0.75</v>
      </c>
      <c r="I872" s="591">
        <v>0.54400000000000004</v>
      </c>
      <c r="J872" s="598">
        <f t="shared" si="64"/>
        <v>-9.9999999999999992E-2</v>
      </c>
      <c r="K872" s="568" t="s">
        <v>1589</v>
      </c>
    </row>
    <row r="873" spans="1:11">
      <c r="A873" s="568"/>
      <c r="B873" s="593"/>
      <c r="C873" s="589"/>
      <c r="G873" s="590"/>
      <c r="H873" s="591"/>
      <c r="I873" s="591"/>
      <c r="J873" s="605">
        <f>SUM(J812:J872)</f>
        <v>51.192334999999993</v>
      </c>
      <c r="K873" s="592"/>
    </row>
    <row r="874" spans="1:11">
      <c r="A874" s="568"/>
      <c r="B874" s="593" t="s">
        <v>1194</v>
      </c>
      <c r="C874" s="589"/>
      <c r="G874" s="590"/>
      <c r="H874" s="591"/>
      <c r="I874" s="591"/>
      <c r="J874" s="605">
        <f>ROUNDUP(J873,0)</f>
        <v>52</v>
      </c>
      <c r="K874" s="592" t="s">
        <v>52</v>
      </c>
    </row>
    <row r="875" spans="1:11">
      <c r="A875" s="568"/>
      <c r="B875" s="593"/>
      <c r="C875" s="589"/>
      <c r="G875" s="590"/>
      <c r="H875" s="591"/>
      <c r="I875" s="591"/>
      <c r="J875" s="591"/>
      <c r="K875" s="592"/>
    </row>
    <row r="876" spans="1:11">
      <c r="A876" s="568"/>
      <c r="B876" s="593" t="s">
        <v>499</v>
      </c>
      <c r="C876" s="589"/>
      <c r="G876" s="590"/>
      <c r="H876" s="591"/>
      <c r="I876" s="591"/>
      <c r="J876" s="591"/>
      <c r="K876" s="592"/>
    </row>
    <row r="877" spans="1:11">
      <c r="A877" s="568"/>
      <c r="B877" s="593" t="s">
        <v>1174</v>
      </c>
      <c r="C877" s="589"/>
      <c r="D877" s="578">
        <v>1</v>
      </c>
      <c r="E877" s="579" t="s">
        <v>8</v>
      </c>
      <c r="F877" s="569">
        <v>1</v>
      </c>
      <c r="G877" s="590">
        <v>3.5</v>
      </c>
      <c r="H877" s="591">
        <v>3.2</v>
      </c>
      <c r="I877" s="591">
        <v>0.125</v>
      </c>
      <c r="J877" s="591">
        <f t="shared" ref="J877:J887" si="65">PRODUCT(D877:I877)</f>
        <v>1.4000000000000001</v>
      </c>
      <c r="K877" s="592"/>
    </row>
    <row r="878" spans="1:11">
      <c r="A878" s="568"/>
      <c r="B878" s="593" t="s">
        <v>1175</v>
      </c>
      <c r="C878" s="589"/>
      <c r="D878" s="578">
        <v>1</v>
      </c>
      <c r="E878" s="579" t="s">
        <v>8</v>
      </c>
      <c r="F878" s="569">
        <v>1</v>
      </c>
      <c r="G878" s="590">
        <v>4</v>
      </c>
      <c r="H878" s="591">
        <v>3.2</v>
      </c>
      <c r="I878" s="591">
        <v>0.125</v>
      </c>
      <c r="J878" s="591">
        <f t="shared" si="65"/>
        <v>1.6</v>
      </c>
      <c r="K878" s="592"/>
    </row>
    <row r="879" spans="1:11">
      <c r="A879" s="568"/>
      <c r="B879" s="593" t="s">
        <v>1176</v>
      </c>
      <c r="C879" s="589" t="s">
        <v>1177</v>
      </c>
      <c r="D879" s="578">
        <v>1</v>
      </c>
      <c r="E879" s="579" t="s">
        <v>8</v>
      </c>
      <c r="F879" s="569">
        <v>5</v>
      </c>
      <c r="G879" s="590">
        <v>3.77</v>
      </c>
      <c r="H879" s="591">
        <v>6.8</v>
      </c>
      <c r="I879" s="591">
        <v>0.13</v>
      </c>
      <c r="J879" s="591">
        <f t="shared" si="65"/>
        <v>16.663400000000003</v>
      </c>
      <c r="K879" s="592"/>
    </row>
    <row r="880" spans="1:11">
      <c r="A880" s="568"/>
      <c r="B880" s="593" t="s">
        <v>1178</v>
      </c>
      <c r="C880" s="589"/>
      <c r="D880" s="578">
        <v>1</v>
      </c>
      <c r="E880" s="579" t="s">
        <v>8</v>
      </c>
      <c r="F880" s="569">
        <v>1</v>
      </c>
      <c r="G880" s="590">
        <v>3.875</v>
      </c>
      <c r="H880" s="591">
        <v>7.8</v>
      </c>
      <c r="I880" s="591">
        <v>0.125</v>
      </c>
      <c r="J880" s="591">
        <f t="shared" si="65"/>
        <v>3.7781249999999997</v>
      </c>
      <c r="K880" s="592"/>
    </row>
    <row r="881" spans="1:11">
      <c r="A881" s="568"/>
      <c r="B881" s="593" t="s">
        <v>1179</v>
      </c>
      <c r="C881" s="589"/>
      <c r="D881" s="578">
        <v>1</v>
      </c>
      <c r="E881" s="579" t="s">
        <v>8</v>
      </c>
      <c r="F881" s="569">
        <v>1</v>
      </c>
      <c r="G881" s="590">
        <v>1.4</v>
      </c>
      <c r="H881" s="591">
        <v>7.8</v>
      </c>
      <c r="I881" s="591">
        <v>0.125</v>
      </c>
      <c r="J881" s="591">
        <f t="shared" si="65"/>
        <v>1.365</v>
      </c>
      <c r="K881" s="592"/>
    </row>
    <row r="882" spans="1:11">
      <c r="A882" s="568"/>
      <c r="B882" s="593" t="s">
        <v>1180</v>
      </c>
      <c r="C882" s="589"/>
      <c r="D882" s="578">
        <v>1</v>
      </c>
      <c r="E882" s="579" t="s">
        <v>8</v>
      </c>
      <c r="F882" s="569">
        <v>1</v>
      </c>
      <c r="G882" s="590">
        <v>7.5</v>
      </c>
      <c r="H882" s="591">
        <v>16.3</v>
      </c>
      <c r="I882" s="591">
        <v>0.125</v>
      </c>
      <c r="J882" s="591">
        <f t="shared" si="65"/>
        <v>15.28125</v>
      </c>
      <c r="K882" s="592"/>
    </row>
    <row r="883" spans="1:11">
      <c r="A883" s="568"/>
      <c r="B883" s="593" t="s">
        <v>1181</v>
      </c>
      <c r="C883" s="589"/>
      <c r="D883" s="578">
        <v>1</v>
      </c>
      <c r="E883" s="579" t="s">
        <v>8</v>
      </c>
      <c r="F883" s="569">
        <v>1</v>
      </c>
      <c r="G883" s="590">
        <v>19.8</v>
      </c>
      <c r="H883" s="591">
        <v>1.5</v>
      </c>
      <c r="I883" s="591">
        <v>0.125</v>
      </c>
      <c r="J883" s="591">
        <f t="shared" si="65"/>
        <v>3.7125000000000004</v>
      </c>
      <c r="K883" s="592"/>
    </row>
    <row r="884" spans="1:11">
      <c r="A884" s="568"/>
      <c r="B884" s="593" t="s">
        <v>1182</v>
      </c>
      <c r="C884" s="589"/>
      <c r="D884" s="578">
        <v>1</v>
      </c>
      <c r="E884" s="579" t="s">
        <v>8</v>
      </c>
      <c r="F884" s="569">
        <v>1</v>
      </c>
      <c r="G884" s="590">
        <v>3.3</v>
      </c>
      <c r="H884" s="591">
        <v>1.9</v>
      </c>
      <c r="I884" s="591">
        <v>0.125</v>
      </c>
      <c r="J884" s="591">
        <f t="shared" si="65"/>
        <v>0.78374999999999995</v>
      </c>
      <c r="K884" s="592"/>
    </row>
    <row r="885" spans="1:11">
      <c r="A885" s="568"/>
      <c r="B885" s="593" t="s">
        <v>1183</v>
      </c>
      <c r="C885" s="589"/>
      <c r="D885" s="578">
        <v>1</v>
      </c>
      <c r="E885" s="579" t="s">
        <v>8</v>
      </c>
      <c r="F885" s="569">
        <v>1</v>
      </c>
      <c r="G885" s="590">
        <v>3.3</v>
      </c>
      <c r="H885" s="591">
        <v>1.9</v>
      </c>
      <c r="I885" s="591">
        <v>0.125</v>
      </c>
      <c r="J885" s="591">
        <f t="shared" si="65"/>
        <v>0.78374999999999995</v>
      </c>
      <c r="K885" s="592"/>
    </row>
    <row r="886" spans="1:11">
      <c r="A886" s="568"/>
      <c r="B886" s="593" t="s">
        <v>1184</v>
      </c>
      <c r="C886" s="589"/>
      <c r="D886" s="578">
        <v>1</v>
      </c>
      <c r="E886" s="579" t="s">
        <v>8</v>
      </c>
      <c r="F886" s="569">
        <v>1</v>
      </c>
      <c r="G886" s="590">
        <v>1.5</v>
      </c>
      <c r="H886" s="591">
        <v>11.5</v>
      </c>
      <c r="I886" s="591">
        <v>0.125</v>
      </c>
      <c r="J886" s="591">
        <f t="shared" si="65"/>
        <v>2.15625</v>
      </c>
      <c r="K886" s="592"/>
    </row>
    <row r="887" spans="1:11">
      <c r="A887" s="568"/>
      <c r="B887" s="593" t="s">
        <v>1185</v>
      </c>
      <c r="C887" s="589"/>
      <c r="D887" s="578">
        <v>1</v>
      </c>
      <c r="E887" s="579" t="s">
        <v>8</v>
      </c>
      <c r="F887" s="569">
        <v>1</v>
      </c>
      <c r="G887" s="590">
        <v>6.4</v>
      </c>
      <c r="H887" s="591">
        <v>11.8</v>
      </c>
      <c r="I887" s="591">
        <v>0.13</v>
      </c>
      <c r="J887" s="591">
        <f t="shared" si="65"/>
        <v>9.8176000000000023</v>
      </c>
      <c r="K887" s="592"/>
    </row>
    <row r="888" spans="1:11">
      <c r="A888" s="568"/>
      <c r="B888" s="593"/>
      <c r="C888" s="589"/>
      <c r="G888" s="590"/>
      <c r="H888" s="591"/>
      <c r="I888" s="591"/>
      <c r="J888" s="605">
        <f>SUM(J877:J887)</f>
        <v>57.341624999999993</v>
      </c>
      <c r="K888" s="592"/>
    </row>
    <row r="889" spans="1:11">
      <c r="A889" s="568"/>
      <c r="B889" s="593" t="s">
        <v>123</v>
      </c>
      <c r="C889" s="589"/>
      <c r="G889" s="590"/>
      <c r="H889" s="591"/>
      <c r="I889" s="591"/>
      <c r="J889" s="605">
        <f>ROUNDUP(J888,0)</f>
        <v>58</v>
      </c>
      <c r="K889" s="592" t="s">
        <v>52</v>
      </c>
    </row>
    <row r="890" spans="1:11">
      <c r="A890" s="568"/>
      <c r="B890" s="593"/>
      <c r="C890" s="589"/>
      <c r="G890" s="590"/>
      <c r="H890" s="591"/>
      <c r="I890" s="591"/>
      <c r="J890" s="591"/>
      <c r="K890" s="592"/>
    </row>
    <row r="891" spans="1:11">
      <c r="A891" s="568"/>
      <c r="B891" s="593" t="s">
        <v>14</v>
      </c>
      <c r="C891" s="589"/>
      <c r="G891" s="590"/>
      <c r="H891" s="591"/>
      <c r="I891" s="591"/>
      <c r="J891" s="591"/>
      <c r="K891" s="592"/>
    </row>
    <row r="892" spans="1:11" ht="36">
      <c r="A892" s="568"/>
      <c r="B892" s="593" t="s">
        <v>505</v>
      </c>
      <c r="C892" s="589"/>
      <c r="G892" s="590"/>
      <c r="H892" s="591"/>
      <c r="I892" s="591"/>
      <c r="J892" s="605">
        <f>+J740</f>
        <v>7</v>
      </c>
      <c r="K892" s="592" t="s">
        <v>52</v>
      </c>
    </row>
    <row r="893" spans="1:11">
      <c r="A893" s="568"/>
      <c r="B893" s="593"/>
      <c r="C893" s="589"/>
      <c r="G893" s="590"/>
      <c r="H893" s="591"/>
      <c r="I893" s="591"/>
      <c r="J893" s="591"/>
      <c r="K893" s="592"/>
    </row>
    <row r="894" spans="1:11">
      <c r="A894" s="568"/>
      <c r="B894" s="584" t="s">
        <v>62</v>
      </c>
      <c r="C894" s="589"/>
      <c r="G894" s="590"/>
      <c r="H894" s="591"/>
      <c r="I894" s="591"/>
      <c r="J894" s="591"/>
      <c r="K894" s="592"/>
    </row>
    <row r="895" spans="1:11">
      <c r="A895" s="568"/>
      <c r="B895" s="593" t="s">
        <v>504</v>
      </c>
      <c r="C895" s="589"/>
      <c r="G895" s="590"/>
      <c r="H895" s="591"/>
      <c r="I895" s="591"/>
      <c r="J895" s="591"/>
      <c r="K895" s="592"/>
    </row>
    <row r="896" spans="1:11">
      <c r="A896" s="568"/>
      <c r="B896" s="593" t="s">
        <v>1022</v>
      </c>
      <c r="C896" s="589"/>
      <c r="D896" s="578">
        <v>1</v>
      </c>
      <c r="E896" s="579" t="s">
        <v>8</v>
      </c>
      <c r="F896" s="569">
        <v>1</v>
      </c>
      <c r="G896" s="590">
        <v>33.17</v>
      </c>
      <c r="H896" s="591">
        <v>0.2</v>
      </c>
      <c r="I896" s="591">
        <v>0.2</v>
      </c>
      <c r="J896" s="591">
        <f t="shared" ref="J896:J900" si="66">PRODUCT(D896:I896)</f>
        <v>1.3268000000000002</v>
      </c>
      <c r="K896" s="592"/>
    </row>
    <row r="897" spans="1:11">
      <c r="A897" s="568"/>
      <c r="B897" s="593" t="s">
        <v>1189</v>
      </c>
      <c r="C897" s="589"/>
      <c r="D897" s="578">
        <v>1</v>
      </c>
      <c r="E897" s="579" t="s">
        <v>8</v>
      </c>
      <c r="F897" s="569">
        <v>1</v>
      </c>
      <c r="G897" s="590">
        <f>8.2+0.5</f>
        <v>8.6999999999999993</v>
      </c>
      <c r="H897" s="591">
        <v>0.2</v>
      </c>
      <c r="I897" s="591">
        <v>0.2</v>
      </c>
      <c r="J897" s="591">
        <f t="shared" si="66"/>
        <v>0.34800000000000003</v>
      </c>
      <c r="K897" s="592"/>
    </row>
    <row r="898" spans="1:11">
      <c r="A898" s="568"/>
      <c r="B898" s="593"/>
      <c r="C898" s="589"/>
      <c r="D898" s="578">
        <v>1</v>
      </c>
      <c r="E898" s="579" t="s">
        <v>8</v>
      </c>
      <c r="F898" s="569">
        <v>1</v>
      </c>
      <c r="G898" s="590">
        <v>12</v>
      </c>
      <c r="H898" s="591">
        <v>0.2</v>
      </c>
      <c r="I898" s="591">
        <v>0.2</v>
      </c>
      <c r="J898" s="591">
        <f t="shared" si="66"/>
        <v>0.48000000000000009</v>
      </c>
      <c r="K898" s="592"/>
    </row>
    <row r="899" spans="1:11">
      <c r="A899" s="568"/>
      <c r="B899" s="593" t="s">
        <v>583</v>
      </c>
      <c r="C899" s="589"/>
      <c r="D899" s="578">
        <v>1</v>
      </c>
      <c r="E899" s="579" t="s">
        <v>8</v>
      </c>
      <c r="F899" s="569">
        <v>1</v>
      </c>
      <c r="G899" s="590">
        <f>6.8+6.2</f>
        <v>13</v>
      </c>
      <c r="H899" s="591">
        <v>0.2</v>
      </c>
      <c r="I899" s="591">
        <v>0.2</v>
      </c>
      <c r="J899" s="591">
        <f t="shared" si="66"/>
        <v>0.52</v>
      </c>
      <c r="K899" s="592"/>
    </row>
    <row r="900" spans="1:11">
      <c r="A900" s="568"/>
      <c r="B900" s="593" t="s">
        <v>549</v>
      </c>
      <c r="C900" s="589"/>
      <c r="D900" s="578">
        <v>1</v>
      </c>
      <c r="E900" s="579" t="s">
        <v>8</v>
      </c>
      <c r="F900" s="569">
        <v>1</v>
      </c>
      <c r="G900" s="590">
        <v>20.2</v>
      </c>
      <c r="H900" s="591">
        <v>0.2</v>
      </c>
      <c r="I900" s="591">
        <v>0.2</v>
      </c>
      <c r="J900" s="591">
        <f t="shared" si="66"/>
        <v>0.80800000000000005</v>
      </c>
      <c r="K900" s="592"/>
    </row>
    <row r="901" spans="1:11">
      <c r="A901" s="568"/>
      <c r="B901" s="593" t="s">
        <v>611</v>
      </c>
      <c r="C901" s="589"/>
      <c r="G901" s="590"/>
      <c r="H901" s="591"/>
      <c r="I901" s="591"/>
      <c r="J901" s="591"/>
      <c r="K901" s="592"/>
    </row>
    <row r="902" spans="1:11">
      <c r="A902" s="568"/>
      <c r="B902" s="593" t="s">
        <v>585</v>
      </c>
      <c r="C902" s="589"/>
      <c r="D902" s="578">
        <v>1</v>
      </c>
      <c r="E902" s="579" t="s">
        <v>8</v>
      </c>
      <c r="F902" s="569">
        <v>13</v>
      </c>
      <c r="G902" s="590">
        <f>0.9+0.2+0.2</f>
        <v>1.3</v>
      </c>
      <c r="H902" s="591">
        <v>0.2</v>
      </c>
      <c r="I902" s="591">
        <v>0.2</v>
      </c>
      <c r="J902" s="591">
        <f t="shared" ref="J902:J905" si="67">PRODUCT(D902:I902)</f>
        <v>0.67600000000000016</v>
      </c>
      <c r="K902" s="592"/>
    </row>
    <row r="903" spans="1:11">
      <c r="A903" s="568"/>
      <c r="B903" s="593" t="s">
        <v>1195</v>
      </c>
      <c r="C903" s="589"/>
      <c r="D903" s="578">
        <v>1</v>
      </c>
      <c r="E903" s="579" t="s">
        <v>8</v>
      </c>
      <c r="F903" s="569">
        <v>1</v>
      </c>
      <c r="G903" s="590">
        <f>1+0.2+0.2</f>
        <v>1.4</v>
      </c>
      <c r="H903" s="591">
        <v>0.2</v>
      </c>
      <c r="I903" s="591">
        <v>0.2</v>
      </c>
      <c r="J903" s="591">
        <f t="shared" si="67"/>
        <v>5.5999999999999994E-2</v>
      </c>
      <c r="K903" s="592"/>
    </row>
    <row r="904" spans="1:11">
      <c r="A904" s="568"/>
      <c r="B904" s="593" t="s">
        <v>18</v>
      </c>
      <c r="C904" s="589"/>
      <c r="D904" s="578">
        <v>1</v>
      </c>
      <c r="E904" s="579" t="s">
        <v>8</v>
      </c>
      <c r="F904" s="569">
        <v>1</v>
      </c>
      <c r="G904" s="590">
        <f>1.2+0.2+0.2</f>
        <v>1.5999999999999999</v>
      </c>
      <c r="H904" s="591">
        <v>0.2</v>
      </c>
      <c r="I904" s="591">
        <v>0.2</v>
      </c>
      <c r="J904" s="591">
        <f t="shared" si="67"/>
        <v>6.4000000000000001E-2</v>
      </c>
      <c r="K904" s="592"/>
    </row>
    <row r="905" spans="1:11">
      <c r="A905" s="568"/>
      <c r="B905" s="593" t="s">
        <v>21</v>
      </c>
      <c r="C905" s="589"/>
      <c r="D905" s="578">
        <v>1</v>
      </c>
      <c r="E905" s="579" t="s">
        <v>8</v>
      </c>
      <c r="F905" s="569">
        <v>1</v>
      </c>
      <c r="G905" s="590">
        <f>0.9+0.2+0.2</f>
        <v>1.3</v>
      </c>
      <c r="H905" s="591">
        <v>0.2</v>
      </c>
      <c r="I905" s="591">
        <v>0.2</v>
      </c>
      <c r="J905" s="591">
        <f t="shared" si="67"/>
        <v>5.2000000000000005E-2</v>
      </c>
      <c r="K905" s="592"/>
    </row>
    <row r="906" spans="1:11">
      <c r="A906" s="568"/>
      <c r="B906" s="593" t="s">
        <v>612</v>
      </c>
      <c r="C906" s="589"/>
      <c r="G906" s="590"/>
      <c r="H906" s="591"/>
      <c r="I906" s="591"/>
      <c r="J906" s="591"/>
      <c r="K906" s="592"/>
    </row>
    <row r="907" spans="1:11">
      <c r="A907" s="568"/>
      <c r="B907" s="593" t="s">
        <v>1196</v>
      </c>
      <c r="C907" s="589"/>
      <c r="D907" s="578">
        <v>1</v>
      </c>
      <c r="E907" s="579" t="s">
        <v>8</v>
      </c>
      <c r="F907" s="569">
        <v>13</v>
      </c>
      <c r="G907" s="590">
        <f>0.75+0.2+0.2</f>
        <v>1.1499999999999999</v>
      </c>
      <c r="H907" s="591">
        <v>0.1</v>
      </c>
      <c r="I907" s="591">
        <v>0.2</v>
      </c>
      <c r="J907" s="591">
        <f t="shared" ref="J907" si="68">PRODUCT(D907:I907)</f>
        <v>0.29900000000000004</v>
      </c>
      <c r="K907" s="592"/>
    </row>
    <row r="908" spans="1:11">
      <c r="A908" s="568"/>
      <c r="B908" s="593"/>
      <c r="C908" s="589"/>
      <c r="G908" s="590"/>
      <c r="H908" s="591"/>
      <c r="I908" s="591"/>
      <c r="J908" s="605">
        <f>SUM(J896:J907)</f>
        <v>4.6298000000000004</v>
      </c>
      <c r="K908" s="592"/>
    </row>
    <row r="909" spans="1:11">
      <c r="A909" s="568"/>
      <c r="B909" s="593"/>
      <c r="C909" s="589"/>
      <c r="G909" s="590"/>
      <c r="H909" s="591"/>
      <c r="I909" s="591"/>
      <c r="J909" s="605">
        <f>ROUNDUP(J908,0)</f>
        <v>5</v>
      </c>
      <c r="K909" s="592" t="s">
        <v>52</v>
      </c>
    </row>
    <row r="910" spans="1:11">
      <c r="A910" s="568"/>
      <c r="B910" s="584" t="s">
        <v>61</v>
      </c>
      <c r="C910" s="589"/>
      <c r="G910" s="590"/>
      <c r="H910" s="591"/>
      <c r="I910" s="591"/>
      <c r="J910" s="591"/>
      <c r="K910" s="592"/>
    </row>
    <row r="911" spans="1:11">
      <c r="A911" s="568"/>
      <c r="B911" s="593" t="s">
        <v>504</v>
      </c>
      <c r="C911" s="589"/>
      <c r="G911" s="590"/>
      <c r="H911" s="591"/>
      <c r="I911" s="591"/>
      <c r="J911" s="591"/>
      <c r="K911" s="592"/>
    </row>
    <row r="912" spans="1:11">
      <c r="A912" s="568"/>
      <c r="B912" s="593" t="s">
        <v>579</v>
      </c>
      <c r="C912" s="589"/>
      <c r="D912" s="578">
        <v>1</v>
      </c>
      <c r="E912" s="579" t="s">
        <v>8</v>
      </c>
      <c r="F912" s="569">
        <v>7</v>
      </c>
      <c r="G912" s="590">
        <f>1.5+0.2+0.2</f>
        <v>1.9</v>
      </c>
      <c r="H912" s="591">
        <v>0.6</v>
      </c>
      <c r="I912" s="620">
        <v>6.25E-2</v>
      </c>
      <c r="J912" s="591">
        <f t="shared" ref="J912:J913" si="69">PRODUCT(D912:I912)</f>
        <v>0.49874999999999992</v>
      </c>
      <c r="K912" s="592"/>
    </row>
    <row r="913" spans="1:11">
      <c r="A913" s="568"/>
      <c r="B913" s="593" t="s">
        <v>586</v>
      </c>
      <c r="C913" s="589"/>
      <c r="D913" s="578">
        <v>1</v>
      </c>
      <c r="E913" s="579" t="s">
        <v>8</v>
      </c>
      <c r="F913" s="569">
        <v>8</v>
      </c>
      <c r="G913" s="590">
        <f>2.15+0.2+0.2</f>
        <v>2.5500000000000003</v>
      </c>
      <c r="H913" s="591">
        <v>0.6</v>
      </c>
      <c r="I913" s="620">
        <v>6.25E-2</v>
      </c>
      <c r="J913" s="591">
        <f t="shared" si="69"/>
        <v>0.76500000000000001</v>
      </c>
      <c r="K913" s="592"/>
    </row>
    <row r="914" spans="1:11">
      <c r="A914" s="568"/>
      <c r="B914" s="593"/>
      <c r="C914" s="589"/>
      <c r="G914" s="590"/>
      <c r="H914" s="591"/>
      <c r="I914" s="591"/>
      <c r="J914" s="605">
        <f>SUM(J912:J913)</f>
        <v>1.2637499999999999</v>
      </c>
      <c r="K914" s="592"/>
    </row>
    <row r="915" spans="1:11">
      <c r="A915" s="568"/>
      <c r="B915" s="593"/>
      <c r="C915" s="589"/>
      <c r="G915" s="590"/>
      <c r="H915" s="591"/>
      <c r="I915" s="591"/>
      <c r="J915" s="605">
        <f>ROUNDUP(J914,0)</f>
        <v>2</v>
      </c>
      <c r="K915" s="592" t="s">
        <v>52</v>
      </c>
    </row>
    <row r="916" spans="1:11">
      <c r="A916" s="568"/>
      <c r="B916" s="584" t="s">
        <v>618</v>
      </c>
      <c r="C916" s="577"/>
      <c r="G916" s="612"/>
      <c r="H916" s="598"/>
      <c r="I916" s="598"/>
      <c r="J916" s="598"/>
      <c r="K916" s="581"/>
    </row>
    <row r="917" spans="1:11">
      <c r="A917" s="568"/>
      <c r="B917" s="593" t="s">
        <v>1193</v>
      </c>
      <c r="C917" s="577"/>
      <c r="D917" s="578">
        <v>1</v>
      </c>
      <c r="E917" s="579" t="s">
        <v>8</v>
      </c>
      <c r="F917" s="569">
        <v>1</v>
      </c>
      <c r="G917" s="612">
        <v>4.5999999999999996</v>
      </c>
      <c r="H917" s="598">
        <v>0.6</v>
      </c>
      <c r="I917" s="598">
        <v>7.4999999999999997E-2</v>
      </c>
      <c r="J917" s="598">
        <f t="shared" ref="J917" si="70">ROUNDUP(PRODUCT(D917:I917),2)</f>
        <v>0.21000000000000002</v>
      </c>
      <c r="K917" s="581"/>
    </row>
    <row r="918" spans="1:11">
      <c r="A918" s="568"/>
      <c r="B918" s="593"/>
      <c r="C918" s="577"/>
      <c r="G918" s="621"/>
      <c r="H918" s="594"/>
      <c r="I918" s="598"/>
      <c r="J918" s="605">
        <f>SUM(J917:J917)</f>
        <v>0.21000000000000002</v>
      </c>
      <c r="K918" s="592"/>
    </row>
    <row r="919" spans="1:11">
      <c r="A919" s="568"/>
      <c r="B919" s="593"/>
      <c r="C919" s="589"/>
      <c r="G919" s="590"/>
      <c r="H919" s="591"/>
      <c r="I919" s="591"/>
      <c r="J919" s="605">
        <f>ROUNDUP(J918,0)</f>
        <v>1</v>
      </c>
      <c r="K919" s="592" t="s">
        <v>52</v>
      </c>
    </row>
    <row r="920" spans="1:11">
      <c r="A920" s="568"/>
      <c r="B920" s="593"/>
      <c r="C920" s="589"/>
      <c r="G920" s="590"/>
      <c r="H920" s="591"/>
      <c r="I920" s="591"/>
      <c r="J920" s="605"/>
      <c r="K920" s="592"/>
    </row>
    <row r="921" spans="1:11">
      <c r="A921" s="568"/>
      <c r="B921" s="572" t="s">
        <v>58</v>
      </c>
      <c r="C921" s="589"/>
      <c r="G921" s="590"/>
      <c r="H921" s="591"/>
      <c r="I921" s="591"/>
      <c r="J921" s="605">
        <f>+J915+J909+J892+J889+J874+J809+J919</f>
        <v>156</v>
      </c>
      <c r="K921" s="592" t="s">
        <v>52</v>
      </c>
    </row>
    <row r="922" spans="1:11">
      <c r="A922" s="568"/>
      <c r="B922" s="593"/>
      <c r="C922" s="589"/>
      <c r="G922" s="590"/>
      <c r="H922" s="591"/>
      <c r="I922" s="591"/>
      <c r="J922" s="591"/>
      <c r="K922" s="592"/>
    </row>
    <row r="923" spans="1:11">
      <c r="A923" s="568" t="s">
        <v>68</v>
      </c>
      <c r="B923" s="584" t="str">
        <f>'BOQ-C&amp;I'!C36</f>
        <v>Second Floor</v>
      </c>
      <c r="C923" s="589"/>
      <c r="G923" s="590"/>
      <c r="H923" s="591"/>
      <c r="I923" s="591"/>
      <c r="J923" s="591"/>
      <c r="K923" s="592"/>
    </row>
    <row r="924" spans="1:11">
      <c r="A924" s="568"/>
      <c r="B924" s="593" t="s">
        <v>47</v>
      </c>
      <c r="C924" s="589"/>
      <c r="G924" s="590"/>
      <c r="H924" s="591"/>
      <c r="I924" s="591"/>
      <c r="J924" s="591"/>
      <c r="K924" s="592"/>
    </row>
    <row r="925" spans="1:11">
      <c r="A925" s="568"/>
      <c r="B925" s="593" t="s">
        <v>1112</v>
      </c>
      <c r="C925" s="589"/>
      <c r="D925" s="578">
        <v>1</v>
      </c>
      <c r="E925" s="579" t="s">
        <v>8</v>
      </c>
      <c r="F925" s="569">
        <v>7</v>
      </c>
      <c r="G925" s="590">
        <v>0.2</v>
      </c>
      <c r="H925" s="591">
        <v>1.2</v>
      </c>
      <c r="I925" s="591">
        <v>2.95</v>
      </c>
      <c r="J925" s="598">
        <f t="shared" ref="J925:J939" si="71">ROUNDUP(PRODUCT(D925:I925),2)</f>
        <v>4.96</v>
      </c>
      <c r="K925" s="592"/>
    </row>
    <row r="926" spans="1:11">
      <c r="A926" s="568"/>
      <c r="B926" s="593" t="s">
        <v>1113</v>
      </c>
      <c r="C926" s="589"/>
      <c r="D926" s="578">
        <v>1</v>
      </c>
      <c r="E926" s="579" t="s">
        <v>8</v>
      </c>
      <c r="F926" s="569">
        <v>2</v>
      </c>
      <c r="G926" s="590">
        <v>0.2</v>
      </c>
      <c r="H926" s="591">
        <v>1.2</v>
      </c>
      <c r="I926" s="591">
        <v>2.95</v>
      </c>
      <c r="J926" s="598">
        <f t="shared" si="71"/>
        <v>1.42</v>
      </c>
      <c r="K926" s="592"/>
    </row>
    <row r="927" spans="1:11">
      <c r="A927" s="568"/>
      <c r="B927" s="593" t="s">
        <v>1114</v>
      </c>
      <c r="C927" s="589"/>
      <c r="D927" s="578">
        <v>1</v>
      </c>
      <c r="E927" s="579" t="s">
        <v>8</v>
      </c>
      <c r="F927" s="569">
        <v>4</v>
      </c>
      <c r="G927" s="590">
        <v>0.2</v>
      </c>
      <c r="H927" s="591">
        <v>1</v>
      </c>
      <c r="I927" s="591">
        <v>2.95</v>
      </c>
      <c r="J927" s="598">
        <f t="shared" si="71"/>
        <v>2.36</v>
      </c>
      <c r="K927" s="592"/>
    </row>
    <row r="928" spans="1:11">
      <c r="A928" s="568"/>
      <c r="B928" s="593" t="s">
        <v>1115</v>
      </c>
      <c r="C928" s="589"/>
      <c r="D928" s="578">
        <v>1</v>
      </c>
      <c r="E928" s="579" t="s">
        <v>8</v>
      </c>
      <c r="F928" s="569">
        <v>2</v>
      </c>
      <c r="G928" s="590">
        <v>0.2</v>
      </c>
      <c r="H928" s="591">
        <v>1</v>
      </c>
      <c r="I928" s="591">
        <v>2.95</v>
      </c>
      <c r="J928" s="598">
        <f t="shared" si="71"/>
        <v>1.18</v>
      </c>
      <c r="K928" s="592"/>
    </row>
    <row r="929" spans="1:11">
      <c r="A929" s="568"/>
      <c r="B929" s="593" t="s">
        <v>1116</v>
      </c>
      <c r="C929" s="589"/>
      <c r="D929" s="578">
        <v>1</v>
      </c>
      <c r="E929" s="579" t="s">
        <v>8</v>
      </c>
      <c r="F929" s="569">
        <f>4+5</f>
        <v>9</v>
      </c>
      <c r="G929" s="590">
        <v>0.2</v>
      </c>
      <c r="H929" s="591">
        <v>0.9</v>
      </c>
      <c r="I929" s="591">
        <v>2.95</v>
      </c>
      <c r="J929" s="598">
        <f t="shared" si="71"/>
        <v>4.7799999999999994</v>
      </c>
      <c r="K929" s="592"/>
    </row>
    <row r="930" spans="1:11">
      <c r="A930" s="568"/>
      <c r="B930" s="593" t="s">
        <v>1117</v>
      </c>
      <c r="C930" s="589"/>
      <c r="D930" s="578">
        <v>1</v>
      </c>
      <c r="E930" s="579" t="s">
        <v>8</v>
      </c>
      <c r="F930" s="569">
        <v>3</v>
      </c>
      <c r="G930" s="590">
        <v>0.2</v>
      </c>
      <c r="H930" s="591">
        <v>0.9</v>
      </c>
      <c r="I930" s="591">
        <v>2.95</v>
      </c>
      <c r="J930" s="598">
        <f t="shared" si="71"/>
        <v>1.6</v>
      </c>
      <c r="K930" s="592"/>
    </row>
    <row r="931" spans="1:11">
      <c r="A931" s="568"/>
      <c r="B931" s="593" t="s">
        <v>1118</v>
      </c>
      <c r="C931" s="589"/>
      <c r="D931" s="578">
        <v>1</v>
      </c>
      <c r="E931" s="579" t="s">
        <v>8</v>
      </c>
      <c r="F931" s="569">
        <f>3+2</f>
        <v>5</v>
      </c>
      <c r="G931" s="590">
        <v>0.2</v>
      </c>
      <c r="H931" s="591">
        <v>0.8</v>
      </c>
      <c r="I931" s="591">
        <v>2.95</v>
      </c>
      <c r="J931" s="598">
        <f t="shared" si="71"/>
        <v>2.36</v>
      </c>
      <c r="K931" s="592"/>
    </row>
    <row r="932" spans="1:11">
      <c r="A932" s="568"/>
      <c r="B932" s="593" t="s">
        <v>1119</v>
      </c>
      <c r="C932" s="589"/>
      <c r="D932" s="578">
        <v>1</v>
      </c>
      <c r="E932" s="579" t="s">
        <v>8</v>
      </c>
      <c r="F932" s="569">
        <v>7</v>
      </c>
      <c r="G932" s="590">
        <v>0.2</v>
      </c>
      <c r="H932" s="591">
        <v>0.75</v>
      </c>
      <c r="I932" s="591">
        <v>2.95</v>
      </c>
      <c r="J932" s="598">
        <f t="shared" si="71"/>
        <v>3.0999999999999996</v>
      </c>
      <c r="K932" s="592"/>
    </row>
    <row r="933" spans="1:11">
      <c r="A933" s="568"/>
      <c r="B933" s="593" t="s">
        <v>1120</v>
      </c>
      <c r="C933" s="589"/>
      <c r="D933" s="578">
        <v>1</v>
      </c>
      <c r="E933" s="579" t="s">
        <v>8</v>
      </c>
      <c r="F933" s="569">
        <f>2</f>
        <v>2</v>
      </c>
      <c r="G933" s="590">
        <v>0.2</v>
      </c>
      <c r="H933" s="591">
        <v>0.6</v>
      </c>
      <c r="I933" s="591">
        <v>2.95</v>
      </c>
      <c r="J933" s="598">
        <f t="shared" si="71"/>
        <v>0.71</v>
      </c>
      <c r="K933" s="592"/>
    </row>
    <row r="934" spans="1:11">
      <c r="A934" s="568"/>
      <c r="B934" s="593" t="s">
        <v>1121</v>
      </c>
      <c r="C934" s="589"/>
      <c r="D934" s="578">
        <v>1</v>
      </c>
      <c r="E934" s="579" t="s">
        <v>8</v>
      </c>
      <c r="F934" s="569">
        <v>3</v>
      </c>
      <c r="G934" s="590">
        <v>0.2</v>
      </c>
      <c r="H934" s="591">
        <v>0.6</v>
      </c>
      <c r="I934" s="591">
        <v>2.95</v>
      </c>
      <c r="J934" s="598">
        <f t="shared" si="71"/>
        <v>1.07</v>
      </c>
      <c r="K934" s="592"/>
    </row>
    <row r="935" spans="1:11">
      <c r="A935" s="568"/>
      <c r="B935" s="593" t="s">
        <v>1122</v>
      </c>
      <c r="C935" s="589"/>
      <c r="D935" s="578">
        <v>1</v>
      </c>
      <c r="E935" s="579" t="s">
        <v>8</v>
      </c>
      <c r="F935" s="569">
        <v>6</v>
      </c>
      <c r="G935" s="590">
        <v>0.2</v>
      </c>
      <c r="H935" s="591">
        <v>0.9</v>
      </c>
      <c r="I935" s="591">
        <v>2.95</v>
      </c>
      <c r="J935" s="598">
        <f t="shared" si="71"/>
        <v>3.19</v>
      </c>
      <c r="K935" s="592"/>
    </row>
    <row r="936" spans="1:11">
      <c r="A936" s="568"/>
      <c r="B936" s="593" t="s">
        <v>1123</v>
      </c>
      <c r="C936" s="589"/>
      <c r="D936" s="578">
        <v>1</v>
      </c>
      <c r="E936" s="579" t="s">
        <v>8</v>
      </c>
      <c r="F936" s="569">
        <v>1</v>
      </c>
      <c r="G936" s="590">
        <v>0.3</v>
      </c>
      <c r="H936" s="591">
        <v>0.9</v>
      </c>
      <c r="I936" s="591">
        <v>2.95</v>
      </c>
      <c r="J936" s="598">
        <f t="shared" si="71"/>
        <v>0.8</v>
      </c>
      <c r="K936" s="592"/>
    </row>
    <row r="937" spans="1:11">
      <c r="A937" s="568"/>
      <c r="B937" s="593" t="s">
        <v>1124</v>
      </c>
      <c r="C937" s="589"/>
      <c r="D937" s="578">
        <v>1</v>
      </c>
      <c r="E937" s="579" t="s">
        <v>8</v>
      </c>
      <c r="F937" s="569">
        <v>2</v>
      </c>
      <c r="G937" s="590">
        <v>0.23</v>
      </c>
      <c r="H937" s="591">
        <v>0.9</v>
      </c>
      <c r="I937" s="591">
        <v>2.95</v>
      </c>
      <c r="J937" s="598">
        <f t="shared" si="71"/>
        <v>1.23</v>
      </c>
      <c r="K937" s="592"/>
    </row>
    <row r="938" spans="1:11">
      <c r="A938" s="568"/>
      <c r="B938" s="593" t="s">
        <v>1125</v>
      </c>
      <c r="C938" s="589"/>
      <c r="D938" s="578">
        <v>1</v>
      </c>
      <c r="E938" s="579" t="s">
        <v>8</v>
      </c>
      <c r="F938" s="569">
        <v>1</v>
      </c>
      <c r="G938" s="590">
        <v>0.3</v>
      </c>
      <c r="H938" s="591">
        <v>1.1000000000000001</v>
      </c>
      <c r="I938" s="591">
        <v>2.95</v>
      </c>
      <c r="J938" s="598">
        <f t="shared" si="71"/>
        <v>0.98</v>
      </c>
      <c r="K938" s="592"/>
    </row>
    <row r="939" spans="1:11">
      <c r="A939" s="568"/>
      <c r="B939" s="593" t="s">
        <v>1128</v>
      </c>
      <c r="C939" s="589"/>
      <c r="D939" s="578">
        <v>1</v>
      </c>
      <c r="E939" s="579" t="s">
        <v>8</v>
      </c>
      <c r="F939" s="569">
        <v>1</v>
      </c>
      <c r="G939" s="590">
        <v>0.23</v>
      </c>
      <c r="H939" s="591">
        <v>0.75</v>
      </c>
      <c r="I939" s="591">
        <v>2.95</v>
      </c>
      <c r="J939" s="598">
        <f t="shared" si="71"/>
        <v>0.51</v>
      </c>
      <c r="K939" s="592"/>
    </row>
    <row r="940" spans="1:11">
      <c r="A940" s="568"/>
      <c r="B940" s="593"/>
      <c r="C940" s="589"/>
      <c r="G940" s="590"/>
      <c r="H940" s="591"/>
      <c r="I940" s="591"/>
      <c r="J940" s="605">
        <f>SUM(J925:J939)</f>
        <v>30.250000000000004</v>
      </c>
      <c r="K940" s="592"/>
    </row>
    <row r="941" spans="1:11">
      <c r="A941" s="568"/>
      <c r="B941" s="593" t="s">
        <v>554</v>
      </c>
      <c r="C941" s="589"/>
      <c r="G941" s="590"/>
      <c r="H941" s="591"/>
      <c r="I941" s="591"/>
      <c r="J941" s="605">
        <f>ROUNDUP(J940,0)</f>
        <v>31</v>
      </c>
      <c r="K941" s="592" t="s">
        <v>52</v>
      </c>
    </row>
    <row r="942" spans="1:11">
      <c r="A942" s="568"/>
      <c r="B942" s="593"/>
      <c r="C942" s="589"/>
      <c r="G942" s="590"/>
      <c r="H942" s="591"/>
      <c r="I942" s="591"/>
      <c r="J942" s="591"/>
      <c r="K942" s="592"/>
    </row>
    <row r="943" spans="1:11">
      <c r="A943" s="568"/>
      <c r="B943" s="593" t="s">
        <v>498</v>
      </c>
      <c r="C943" s="589"/>
      <c r="G943" s="590"/>
      <c r="H943" s="591"/>
      <c r="I943" s="591"/>
      <c r="J943" s="591"/>
      <c r="K943" s="592"/>
    </row>
    <row r="944" spans="1:11">
      <c r="A944" s="568"/>
      <c r="B944" s="593" t="s">
        <v>554</v>
      </c>
      <c r="C944" s="589"/>
      <c r="G944" s="590"/>
      <c r="H944" s="591"/>
      <c r="I944" s="591"/>
      <c r="J944" s="605">
        <f>J874</f>
        <v>52</v>
      </c>
      <c r="K944" s="592" t="s">
        <v>52</v>
      </c>
    </row>
    <row r="945" spans="1:11">
      <c r="A945" s="568"/>
      <c r="B945" s="593"/>
      <c r="C945" s="589"/>
      <c r="G945" s="590"/>
      <c r="H945" s="591"/>
      <c r="I945" s="591"/>
      <c r="J945" s="591"/>
      <c r="K945" s="592"/>
    </row>
    <row r="946" spans="1:11">
      <c r="A946" s="568"/>
      <c r="B946" s="593" t="s">
        <v>499</v>
      </c>
      <c r="C946" s="589"/>
      <c r="G946" s="590"/>
      <c r="H946" s="591"/>
      <c r="I946" s="591"/>
      <c r="J946" s="591"/>
      <c r="K946" s="592"/>
    </row>
    <row r="947" spans="1:11">
      <c r="A947" s="568"/>
      <c r="B947" s="593" t="s">
        <v>554</v>
      </c>
      <c r="C947" s="589"/>
      <c r="G947" s="590"/>
      <c r="H947" s="591"/>
      <c r="I947" s="591"/>
      <c r="J947" s="605">
        <f>J889</f>
        <v>58</v>
      </c>
      <c r="K947" s="592" t="s">
        <v>52</v>
      </c>
    </row>
    <row r="948" spans="1:11">
      <c r="A948" s="568"/>
      <c r="B948" s="593"/>
      <c r="C948" s="589"/>
      <c r="G948" s="590"/>
      <c r="H948" s="591"/>
      <c r="I948" s="591"/>
      <c r="J948" s="591"/>
      <c r="K948" s="592"/>
    </row>
    <row r="949" spans="1:11">
      <c r="A949" s="568"/>
      <c r="B949" s="593" t="s">
        <v>14</v>
      </c>
      <c r="C949" s="589"/>
      <c r="G949" s="590"/>
      <c r="H949" s="591"/>
      <c r="I949" s="591"/>
      <c r="J949" s="591"/>
      <c r="K949" s="592"/>
    </row>
    <row r="950" spans="1:11">
      <c r="A950" s="568"/>
      <c r="B950" s="593" t="s">
        <v>554</v>
      </c>
      <c r="C950" s="589"/>
      <c r="G950" s="590"/>
      <c r="H950" s="591"/>
      <c r="I950" s="591"/>
      <c r="J950" s="605">
        <f>J892</f>
        <v>7</v>
      </c>
      <c r="K950" s="592" t="s">
        <v>52</v>
      </c>
    </row>
    <row r="951" spans="1:11">
      <c r="A951" s="568"/>
      <c r="B951" s="593"/>
      <c r="C951" s="589"/>
      <c r="G951" s="590"/>
      <c r="H951" s="591"/>
      <c r="I951" s="591"/>
      <c r="J951" s="591"/>
      <c r="K951" s="592"/>
    </row>
    <row r="952" spans="1:11">
      <c r="A952" s="568"/>
      <c r="B952" s="593" t="s">
        <v>62</v>
      </c>
      <c r="C952" s="589"/>
      <c r="G952" s="590"/>
      <c r="H952" s="591"/>
      <c r="I952" s="591"/>
      <c r="J952" s="591"/>
      <c r="K952" s="592"/>
    </row>
    <row r="953" spans="1:11">
      <c r="A953" s="568"/>
      <c r="B953" s="593" t="s">
        <v>554</v>
      </c>
      <c r="C953" s="589"/>
      <c r="G953" s="590"/>
      <c r="H953" s="591"/>
      <c r="I953" s="591"/>
      <c r="J953" s="605">
        <f>ROUNDUP(J909,0)</f>
        <v>5</v>
      </c>
      <c r="K953" s="592" t="s">
        <v>52</v>
      </c>
    </row>
    <row r="954" spans="1:11">
      <c r="A954" s="568"/>
      <c r="B954" s="593"/>
      <c r="C954" s="589"/>
      <c r="G954" s="590"/>
      <c r="H954" s="591"/>
      <c r="I954" s="591"/>
      <c r="J954" s="605"/>
      <c r="K954" s="592"/>
    </row>
    <row r="955" spans="1:11">
      <c r="A955" s="568"/>
      <c r="B955" s="593" t="s">
        <v>61</v>
      </c>
      <c r="C955" s="589"/>
      <c r="G955" s="590"/>
      <c r="H955" s="591"/>
      <c r="I955" s="591"/>
      <c r="J955" s="591"/>
      <c r="K955" s="592"/>
    </row>
    <row r="956" spans="1:11">
      <c r="A956" s="568"/>
      <c r="B956" s="593" t="s">
        <v>554</v>
      </c>
      <c r="C956" s="589"/>
      <c r="G956" s="590"/>
      <c r="H956" s="591"/>
      <c r="I956" s="591"/>
      <c r="J956" s="605">
        <f>ROUNDUP(J915,0)</f>
        <v>2</v>
      </c>
      <c r="K956" s="592" t="s">
        <v>52</v>
      </c>
    </row>
    <row r="957" spans="1:11">
      <c r="A957" s="568"/>
      <c r="B957" s="593"/>
      <c r="C957" s="589"/>
      <c r="G957" s="590"/>
      <c r="H957" s="591"/>
      <c r="I957" s="591"/>
      <c r="J957" s="591"/>
      <c r="K957" s="592"/>
    </row>
    <row r="958" spans="1:11">
      <c r="A958" s="568"/>
      <c r="B958" s="593" t="s">
        <v>618</v>
      </c>
      <c r="C958" s="589"/>
      <c r="G958" s="590"/>
      <c r="H958" s="591"/>
      <c r="I958" s="591"/>
      <c r="J958" s="591"/>
      <c r="K958" s="592"/>
    </row>
    <row r="959" spans="1:11">
      <c r="A959" s="568"/>
      <c r="B959" s="593" t="s">
        <v>554</v>
      </c>
      <c r="C959" s="589"/>
      <c r="G959" s="590"/>
      <c r="H959" s="591"/>
      <c r="I959" s="591"/>
      <c r="J959" s="605">
        <f>ROUNDUP(J919,0)</f>
        <v>1</v>
      </c>
      <c r="K959" s="592" t="s">
        <v>52</v>
      </c>
    </row>
    <row r="960" spans="1:11">
      <c r="A960" s="568"/>
      <c r="B960" s="593"/>
      <c r="C960" s="589"/>
      <c r="G960" s="590"/>
      <c r="H960" s="591"/>
      <c r="I960" s="591"/>
      <c r="J960" s="591"/>
      <c r="K960" s="592"/>
    </row>
    <row r="961" spans="1:11">
      <c r="A961" s="568"/>
      <c r="B961" s="572" t="s">
        <v>58</v>
      </c>
      <c r="C961" s="589"/>
      <c r="G961" s="590"/>
      <c r="H961" s="591"/>
      <c r="I961" s="591"/>
      <c r="J961" s="605">
        <f>+J956+J953+J950+J947+J944+J941+J959</f>
        <v>156</v>
      </c>
      <c r="K961" s="592" t="s">
        <v>52</v>
      </c>
    </row>
    <row r="962" spans="1:11">
      <c r="A962" s="568"/>
      <c r="B962" s="593"/>
      <c r="C962" s="589"/>
      <c r="G962" s="590"/>
      <c r="H962" s="591"/>
      <c r="I962" s="591"/>
      <c r="J962" s="591"/>
      <c r="K962" s="592"/>
    </row>
    <row r="963" spans="1:11">
      <c r="A963" s="568" t="s">
        <v>67</v>
      </c>
      <c r="B963" s="584" t="str">
        <f>'BOQ-C&amp;I'!C37</f>
        <v>Third Floor</v>
      </c>
      <c r="C963" s="589"/>
      <c r="G963" s="590"/>
      <c r="H963" s="591"/>
      <c r="I963" s="591"/>
      <c r="J963" s="591"/>
      <c r="K963" s="592"/>
    </row>
    <row r="964" spans="1:11">
      <c r="A964" s="568"/>
      <c r="B964" s="593" t="s">
        <v>47</v>
      </c>
      <c r="C964" s="589"/>
      <c r="G964" s="590"/>
      <c r="H964" s="591"/>
      <c r="I964" s="591"/>
      <c r="J964" s="591"/>
      <c r="K964" s="592"/>
    </row>
    <row r="965" spans="1:11">
      <c r="A965" s="568"/>
      <c r="B965" s="593" t="s">
        <v>555</v>
      </c>
      <c r="C965" s="589"/>
      <c r="G965" s="590"/>
      <c r="H965" s="591"/>
      <c r="I965" s="591"/>
      <c r="J965" s="605">
        <f>J941</f>
        <v>31</v>
      </c>
      <c r="K965" s="592" t="s">
        <v>52</v>
      </c>
    </row>
    <row r="966" spans="1:11">
      <c r="A966" s="568"/>
      <c r="B966" s="593"/>
      <c r="C966" s="589"/>
      <c r="G966" s="590"/>
      <c r="H966" s="591"/>
      <c r="I966" s="591"/>
      <c r="J966" s="591"/>
      <c r="K966" s="592"/>
    </row>
    <row r="967" spans="1:11">
      <c r="A967" s="568"/>
      <c r="B967" s="593" t="s">
        <v>498</v>
      </c>
      <c r="C967" s="589"/>
      <c r="G967" s="590"/>
      <c r="H967" s="591"/>
      <c r="I967" s="591"/>
      <c r="J967" s="591"/>
      <c r="K967" s="592"/>
    </row>
    <row r="968" spans="1:11">
      <c r="A968" s="568"/>
      <c r="B968" s="593" t="s">
        <v>555</v>
      </c>
      <c r="C968" s="589"/>
      <c r="G968" s="590"/>
      <c r="H968" s="591"/>
      <c r="I968" s="591"/>
      <c r="J968" s="605">
        <f>J944</f>
        <v>52</v>
      </c>
      <c r="K968" s="592" t="s">
        <v>52</v>
      </c>
    </row>
    <row r="969" spans="1:11">
      <c r="A969" s="568"/>
      <c r="B969" s="593"/>
      <c r="C969" s="589"/>
      <c r="G969" s="590"/>
      <c r="H969" s="591"/>
      <c r="I969" s="591"/>
      <c r="J969" s="591"/>
      <c r="K969" s="592"/>
    </row>
    <row r="970" spans="1:11">
      <c r="A970" s="568"/>
      <c r="B970" s="593" t="s">
        <v>499</v>
      </c>
      <c r="C970" s="589"/>
      <c r="G970" s="590"/>
      <c r="H970" s="591"/>
      <c r="I970" s="591"/>
      <c r="J970" s="591"/>
      <c r="K970" s="592"/>
    </row>
    <row r="971" spans="1:11">
      <c r="A971" s="568"/>
      <c r="B971" s="593" t="s">
        <v>555</v>
      </c>
      <c r="C971" s="589"/>
      <c r="G971" s="590"/>
      <c r="H971" s="591"/>
      <c r="I971" s="591"/>
      <c r="J971" s="605">
        <f>J947</f>
        <v>58</v>
      </c>
      <c r="K971" s="592" t="s">
        <v>52</v>
      </c>
    </row>
    <row r="972" spans="1:11">
      <c r="A972" s="568"/>
      <c r="B972" s="593"/>
      <c r="C972" s="589"/>
      <c r="G972" s="590"/>
      <c r="H972" s="591"/>
      <c r="I972" s="591"/>
      <c r="J972" s="591"/>
      <c r="K972" s="592"/>
    </row>
    <row r="973" spans="1:11">
      <c r="A973" s="568"/>
      <c r="B973" s="593" t="s">
        <v>14</v>
      </c>
      <c r="C973" s="589"/>
      <c r="G973" s="590"/>
      <c r="H973" s="591"/>
      <c r="I973" s="591"/>
      <c r="J973" s="591"/>
      <c r="K973" s="592"/>
    </row>
    <row r="974" spans="1:11">
      <c r="A974" s="568"/>
      <c r="B974" s="593" t="s">
        <v>555</v>
      </c>
      <c r="C974" s="589"/>
      <c r="G974" s="590"/>
      <c r="H974" s="591"/>
      <c r="I974" s="591"/>
      <c r="J974" s="605">
        <f>J950</f>
        <v>7</v>
      </c>
      <c r="K974" s="592" t="s">
        <v>52</v>
      </c>
    </row>
    <row r="975" spans="1:11">
      <c r="A975" s="568"/>
      <c r="B975" s="593"/>
      <c r="C975" s="589"/>
      <c r="G975" s="590"/>
      <c r="H975" s="591"/>
      <c r="I975" s="591"/>
      <c r="J975" s="591"/>
      <c r="K975" s="592"/>
    </row>
    <row r="976" spans="1:11">
      <c r="A976" s="568"/>
      <c r="B976" s="593" t="s">
        <v>62</v>
      </c>
      <c r="C976" s="589"/>
      <c r="G976" s="590"/>
      <c r="H976" s="591"/>
      <c r="I976" s="591"/>
      <c r="J976" s="591"/>
      <c r="K976" s="592"/>
    </row>
    <row r="977" spans="1:11">
      <c r="A977" s="568"/>
      <c r="B977" s="593" t="s">
        <v>555</v>
      </c>
      <c r="C977" s="589"/>
      <c r="G977" s="590"/>
      <c r="H977" s="591"/>
      <c r="I977" s="591"/>
      <c r="J977" s="605">
        <f>J953</f>
        <v>5</v>
      </c>
      <c r="K977" s="592" t="s">
        <v>52</v>
      </c>
    </row>
    <row r="978" spans="1:11">
      <c r="A978" s="568"/>
      <c r="B978" s="593"/>
      <c r="C978" s="589"/>
      <c r="G978" s="590"/>
      <c r="H978" s="591"/>
      <c r="I978" s="591"/>
      <c r="J978" s="605"/>
      <c r="K978" s="592"/>
    </row>
    <row r="979" spans="1:11">
      <c r="A979" s="568"/>
      <c r="B979" s="593" t="s">
        <v>61</v>
      </c>
      <c r="C979" s="589"/>
      <c r="G979" s="590"/>
      <c r="H979" s="591"/>
      <c r="I979" s="591"/>
      <c r="J979" s="591"/>
      <c r="K979" s="592"/>
    </row>
    <row r="980" spans="1:11">
      <c r="A980" s="568"/>
      <c r="B980" s="593" t="s">
        <v>555</v>
      </c>
      <c r="C980" s="589"/>
      <c r="G980" s="590"/>
      <c r="H980" s="591"/>
      <c r="I980" s="591"/>
      <c r="J980" s="605">
        <f>J956</f>
        <v>2</v>
      </c>
      <c r="K980" s="592" t="s">
        <v>52</v>
      </c>
    </row>
    <row r="981" spans="1:11">
      <c r="A981" s="568"/>
      <c r="B981" s="593"/>
      <c r="C981" s="589"/>
      <c r="G981" s="590"/>
      <c r="H981" s="591"/>
      <c r="I981" s="591"/>
      <c r="J981" s="591"/>
      <c r="K981" s="592"/>
    </row>
    <row r="982" spans="1:11">
      <c r="A982" s="568"/>
      <c r="B982" s="593" t="s">
        <v>618</v>
      </c>
      <c r="C982" s="589"/>
      <c r="G982" s="590"/>
      <c r="H982" s="591"/>
      <c r="I982" s="591"/>
      <c r="J982" s="591"/>
      <c r="K982" s="592"/>
    </row>
    <row r="983" spans="1:11">
      <c r="A983" s="568"/>
      <c r="B983" s="593" t="s">
        <v>555</v>
      </c>
      <c r="C983" s="589"/>
      <c r="G983" s="590"/>
      <c r="H983" s="591"/>
      <c r="I983" s="591"/>
      <c r="J983" s="605">
        <f>J959</f>
        <v>1</v>
      </c>
      <c r="K983" s="592" t="s">
        <v>52</v>
      </c>
    </row>
    <row r="984" spans="1:11">
      <c r="A984" s="568"/>
      <c r="B984" s="593"/>
      <c r="C984" s="589"/>
      <c r="G984" s="590"/>
      <c r="H984" s="591"/>
      <c r="I984" s="591"/>
      <c r="J984" s="591"/>
      <c r="K984" s="592"/>
    </row>
    <row r="985" spans="1:11">
      <c r="A985" s="568"/>
      <c r="B985" s="572" t="s">
        <v>58</v>
      </c>
      <c r="C985" s="589"/>
      <c r="G985" s="590"/>
      <c r="H985" s="591"/>
      <c r="I985" s="591"/>
      <c r="J985" s="605">
        <f>+J980+J977+J974+J971+J968+J965+J983</f>
        <v>156</v>
      </c>
      <c r="K985" s="592" t="s">
        <v>52</v>
      </c>
    </row>
    <row r="986" spans="1:11">
      <c r="A986" s="568"/>
      <c r="B986" s="572"/>
      <c r="C986" s="589"/>
      <c r="G986" s="590"/>
      <c r="H986" s="591"/>
      <c r="I986" s="591"/>
      <c r="J986" s="605"/>
      <c r="K986" s="592"/>
    </row>
    <row r="987" spans="1:11">
      <c r="A987" s="568" t="s">
        <v>528</v>
      </c>
      <c r="B987" s="584" t="str">
        <f>'BOQ-C&amp;I'!C38</f>
        <v>Terrace Floor</v>
      </c>
      <c r="C987" s="589"/>
      <c r="G987" s="590"/>
      <c r="H987" s="591"/>
      <c r="I987" s="591"/>
      <c r="J987" s="591"/>
      <c r="K987" s="592"/>
    </row>
    <row r="988" spans="1:11">
      <c r="A988" s="568"/>
      <c r="B988" s="584" t="s">
        <v>47</v>
      </c>
      <c r="C988" s="589"/>
      <c r="G988" s="590"/>
      <c r="H988" s="591"/>
      <c r="I988" s="591"/>
      <c r="J988" s="591"/>
      <c r="K988" s="592"/>
    </row>
    <row r="989" spans="1:11">
      <c r="A989" s="568"/>
      <c r="B989" s="593" t="s">
        <v>1358</v>
      </c>
      <c r="C989" s="589"/>
      <c r="D989" s="578">
        <v>1</v>
      </c>
      <c r="E989" s="579" t="s">
        <v>8</v>
      </c>
      <c r="F989" s="569">
        <v>8</v>
      </c>
      <c r="G989" s="590">
        <v>0.6</v>
      </c>
      <c r="H989" s="591">
        <v>0.2</v>
      </c>
      <c r="I989" s="591">
        <v>2.7</v>
      </c>
      <c r="J989" s="591">
        <f t="shared" ref="J989:J990" si="72">PRODUCT(D989:I989)</f>
        <v>2.5920000000000001</v>
      </c>
      <c r="K989" s="592"/>
    </row>
    <row r="990" spans="1:11">
      <c r="A990" s="568"/>
      <c r="B990" s="593" t="s">
        <v>1357</v>
      </c>
      <c r="C990" s="589"/>
      <c r="D990" s="578">
        <v>1</v>
      </c>
      <c r="E990" s="579" t="s">
        <v>8</v>
      </c>
      <c r="F990" s="569">
        <v>4</v>
      </c>
      <c r="G990" s="590">
        <v>1</v>
      </c>
      <c r="H990" s="591">
        <v>0.2</v>
      </c>
      <c r="I990" s="591">
        <f>3.35</f>
        <v>3.35</v>
      </c>
      <c r="J990" s="591">
        <f t="shared" si="72"/>
        <v>2.68</v>
      </c>
      <c r="K990" s="592"/>
    </row>
    <row r="991" spans="1:11">
      <c r="A991" s="568"/>
      <c r="B991" s="593" t="s">
        <v>1102</v>
      </c>
      <c r="C991" s="589"/>
      <c r="D991" s="578">
        <v>1</v>
      </c>
      <c r="E991" s="579" t="s">
        <v>8</v>
      </c>
      <c r="F991" s="569">
        <v>6</v>
      </c>
      <c r="G991" s="590">
        <v>1</v>
      </c>
      <c r="H991" s="591">
        <v>0.2</v>
      </c>
      <c r="I991" s="591">
        <v>2.5</v>
      </c>
      <c r="J991" s="591">
        <f t="shared" ref="J991:J994" si="73">PRODUCT(D991:I991)</f>
        <v>3.0000000000000004</v>
      </c>
      <c r="K991" s="592"/>
    </row>
    <row r="992" spans="1:11">
      <c r="A992" s="568"/>
      <c r="B992" s="593" t="s">
        <v>509</v>
      </c>
      <c r="C992" s="589"/>
      <c r="D992" s="578">
        <v>1</v>
      </c>
      <c r="E992" s="579" t="s">
        <v>8</v>
      </c>
      <c r="F992" s="569">
        <v>6</v>
      </c>
      <c r="G992" s="590">
        <v>0.2</v>
      </c>
      <c r="H992" s="591">
        <v>0.2</v>
      </c>
      <c r="I992" s="591">
        <f>0.45+0.15+1.75+0.3</f>
        <v>2.65</v>
      </c>
      <c r="J992" s="591">
        <f t="shared" ref="J992" si="74">PRODUCT(D992:I992)</f>
        <v>0.63600000000000012</v>
      </c>
      <c r="K992" s="592"/>
    </row>
    <row r="993" spans="1:11">
      <c r="A993" s="568"/>
      <c r="B993" s="593" t="s">
        <v>629</v>
      </c>
      <c r="C993" s="589"/>
      <c r="D993" s="578">
        <v>1</v>
      </c>
      <c r="E993" s="579" t="s">
        <v>8</v>
      </c>
      <c r="F993" s="569">
        <v>12</v>
      </c>
      <c r="G993" s="590">
        <v>0.6</v>
      </c>
      <c r="H993" s="591">
        <v>0.2</v>
      </c>
      <c r="I993" s="591">
        <v>1.2</v>
      </c>
      <c r="J993" s="591">
        <f t="shared" si="73"/>
        <v>1.728</v>
      </c>
      <c r="K993" s="592"/>
    </row>
    <row r="994" spans="1:11">
      <c r="A994" s="568"/>
      <c r="B994" s="593"/>
      <c r="C994" s="589"/>
      <c r="D994" s="578">
        <v>1</v>
      </c>
      <c r="E994" s="579" t="s">
        <v>8</v>
      </c>
      <c r="F994" s="569">
        <v>12</v>
      </c>
      <c r="G994" s="590">
        <v>1</v>
      </c>
      <c r="H994" s="591">
        <v>0.2</v>
      </c>
      <c r="I994" s="591">
        <v>1.2</v>
      </c>
      <c r="J994" s="591">
        <f t="shared" si="73"/>
        <v>2.8800000000000003</v>
      </c>
      <c r="K994" s="592"/>
    </row>
    <row r="995" spans="1:11">
      <c r="A995" s="568"/>
      <c r="B995" s="593"/>
      <c r="C995" s="589"/>
      <c r="G995" s="590"/>
      <c r="H995" s="591"/>
      <c r="I995" s="591"/>
      <c r="J995" s="605">
        <f>SUM(J989:J994)</f>
        <v>13.516000000000002</v>
      </c>
      <c r="K995" s="592"/>
    </row>
    <row r="996" spans="1:11">
      <c r="A996" s="568"/>
      <c r="B996" s="593"/>
      <c r="C996" s="589"/>
      <c r="G996" s="590"/>
      <c r="H996" s="591"/>
      <c r="I996" s="591"/>
      <c r="J996" s="605">
        <f>ROUNDUP(J995,0)</f>
        <v>14</v>
      </c>
      <c r="K996" s="592" t="s">
        <v>52</v>
      </c>
    </row>
    <row r="997" spans="1:11">
      <c r="A997" s="568"/>
      <c r="B997" s="584" t="s">
        <v>627</v>
      </c>
      <c r="C997" s="589"/>
      <c r="G997" s="590"/>
      <c r="H997" s="591"/>
      <c r="I997" s="591"/>
      <c r="J997" s="591"/>
      <c r="K997" s="592"/>
    </row>
    <row r="998" spans="1:11">
      <c r="A998" s="568"/>
      <c r="B998" s="593" t="s">
        <v>623</v>
      </c>
      <c r="C998" s="589"/>
      <c r="D998" s="578">
        <v>2</v>
      </c>
      <c r="E998" s="579" t="s">
        <v>8</v>
      </c>
      <c r="F998" s="569">
        <v>1</v>
      </c>
      <c r="G998" s="590">
        <v>3.7</v>
      </c>
      <c r="H998" s="591">
        <v>0.2</v>
      </c>
      <c r="I998" s="591">
        <v>0.6</v>
      </c>
      <c r="J998" s="591">
        <f>PRODUCT(D998:I998)</f>
        <v>0.88800000000000012</v>
      </c>
      <c r="K998" s="592"/>
    </row>
    <row r="999" spans="1:11">
      <c r="A999" s="568"/>
      <c r="B999" s="593"/>
      <c r="C999" s="589"/>
      <c r="D999" s="578">
        <v>2</v>
      </c>
      <c r="E999" s="579" t="s">
        <v>8</v>
      </c>
      <c r="F999" s="569">
        <v>1</v>
      </c>
      <c r="G999" s="590">
        <v>7.3</v>
      </c>
      <c r="H999" s="591">
        <v>0.2</v>
      </c>
      <c r="I999" s="591">
        <v>0.6</v>
      </c>
      <c r="J999" s="591">
        <f t="shared" ref="J999:J1004" si="75">PRODUCT(D999:I999)</f>
        <v>1.752</v>
      </c>
      <c r="K999" s="592"/>
    </row>
    <row r="1000" spans="1:11">
      <c r="A1000" s="568"/>
      <c r="B1000" s="593"/>
      <c r="C1000" s="589"/>
      <c r="D1000" s="578">
        <v>1</v>
      </c>
      <c r="E1000" s="579" t="s">
        <v>8</v>
      </c>
      <c r="F1000" s="569">
        <v>1</v>
      </c>
      <c r="G1000" s="590">
        <v>5.2</v>
      </c>
      <c r="H1000" s="591">
        <v>0.2</v>
      </c>
      <c r="I1000" s="591">
        <v>0.6</v>
      </c>
      <c r="J1000" s="591">
        <f t="shared" si="75"/>
        <v>0.624</v>
      </c>
      <c r="K1000" s="592"/>
    </row>
    <row r="1001" spans="1:11">
      <c r="A1001" s="568"/>
      <c r="B1001" s="593"/>
      <c r="C1001" s="589"/>
      <c r="D1001" s="578">
        <v>1</v>
      </c>
      <c r="E1001" s="579" t="s">
        <v>8</v>
      </c>
      <c r="F1001" s="569">
        <v>1</v>
      </c>
      <c r="G1001" s="590">
        <v>1.2</v>
      </c>
      <c r="H1001" s="591">
        <v>0.2</v>
      </c>
      <c r="I1001" s="591">
        <v>0.6</v>
      </c>
      <c r="J1001" s="591">
        <f t="shared" si="75"/>
        <v>0.14399999999999999</v>
      </c>
      <c r="K1001" s="592"/>
    </row>
    <row r="1002" spans="1:11">
      <c r="A1002" s="568"/>
      <c r="B1002" s="593"/>
      <c r="C1002" s="589"/>
      <c r="D1002" s="578">
        <v>2</v>
      </c>
      <c r="E1002" s="579" t="s">
        <v>8</v>
      </c>
      <c r="F1002" s="569">
        <v>1</v>
      </c>
      <c r="G1002" s="590">
        <v>2.2999999999999998</v>
      </c>
      <c r="H1002" s="591">
        <v>0.2</v>
      </c>
      <c r="I1002" s="591">
        <v>0.6</v>
      </c>
      <c r="J1002" s="591">
        <f t="shared" si="75"/>
        <v>0.55199999999999994</v>
      </c>
      <c r="K1002" s="592"/>
    </row>
    <row r="1003" spans="1:11">
      <c r="A1003" s="568"/>
      <c r="B1003" s="593" t="s">
        <v>598</v>
      </c>
      <c r="C1003" s="589"/>
      <c r="D1003" s="578">
        <v>2</v>
      </c>
      <c r="E1003" s="579" t="s">
        <v>8</v>
      </c>
      <c r="F1003" s="569">
        <v>1</v>
      </c>
      <c r="G1003" s="590">
        <v>3.7</v>
      </c>
      <c r="H1003" s="591">
        <v>0.2</v>
      </c>
      <c r="I1003" s="591">
        <v>0.6</v>
      </c>
      <c r="J1003" s="591">
        <f t="shared" si="75"/>
        <v>0.88800000000000012</v>
      </c>
      <c r="K1003" s="592"/>
    </row>
    <row r="1004" spans="1:11">
      <c r="A1004" s="568"/>
      <c r="B1004" s="593"/>
      <c r="C1004" s="589"/>
      <c r="D1004" s="578">
        <v>2</v>
      </c>
      <c r="E1004" s="579" t="s">
        <v>8</v>
      </c>
      <c r="F1004" s="569">
        <v>1</v>
      </c>
      <c r="G1004" s="590">
        <v>7.3</v>
      </c>
      <c r="H1004" s="591">
        <v>0.2</v>
      </c>
      <c r="I1004" s="591">
        <v>0.6</v>
      </c>
      <c r="J1004" s="591">
        <f t="shared" si="75"/>
        <v>1.752</v>
      </c>
      <c r="K1004" s="592"/>
    </row>
    <row r="1005" spans="1:11">
      <c r="A1005" s="568"/>
      <c r="B1005" s="593" t="s">
        <v>1102</v>
      </c>
      <c r="C1005" s="589"/>
      <c r="D1005" s="578">
        <v>1</v>
      </c>
      <c r="E1005" s="579" t="s">
        <v>8</v>
      </c>
      <c r="F1005" s="569">
        <v>2</v>
      </c>
      <c r="G1005" s="590">
        <v>5.3</v>
      </c>
      <c r="H1005" s="591">
        <v>0.2</v>
      </c>
      <c r="I1005" s="591">
        <v>0.75</v>
      </c>
      <c r="J1005" s="591">
        <f t="shared" ref="J1005" si="76">PRODUCT(D1005:I1005)</f>
        <v>1.59</v>
      </c>
      <c r="K1005" s="592"/>
    </row>
    <row r="1006" spans="1:11">
      <c r="A1006" s="568"/>
      <c r="B1006" s="593" t="s">
        <v>1102</v>
      </c>
      <c r="C1006" s="589"/>
      <c r="D1006" s="578">
        <v>1</v>
      </c>
      <c r="E1006" s="579" t="s">
        <v>8</v>
      </c>
      <c r="F1006" s="569">
        <v>2</v>
      </c>
      <c r="G1006" s="590">
        <v>5.27</v>
      </c>
      <c r="H1006" s="591">
        <v>0.2</v>
      </c>
      <c r="I1006" s="591">
        <v>0.75</v>
      </c>
      <c r="J1006" s="591">
        <f t="shared" ref="J1006" si="77">PRODUCT(D1006:I1006)</f>
        <v>1.581</v>
      </c>
      <c r="K1006" s="592"/>
    </row>
    <row r="1007" spans="1:11">
      <c r="A1007" s="568"/>
      <c r="B1007" s="593"/>
      <c r="C1007" s="589"/>
      <c r="G1007" s="590"/>
      <c r="H1007" s="591"/>
      <c r="I1007" s="591"/>
      <c r="J1007" s="605">
        <f>SUM(J998:J1006)</f>
        <v>9.7710000000000008</v>
      </c>
      <c r="K1007" s="592"/>
    </row>
    <row r="1008" spans="1:11">
      <c r="A1008" s="568"/>
      <c r="B1008" s="593"/>
      <c r="C1008" s="589"/>
      <c r="G1008" s="590"/>
      <c r="H1008" s="591"/>
      <c r="I1008" s="591"/>
      <c r="J1008" s="605">
        <f>ROUNDUP(J1007,0)</f>
        <v>10</v>
      </c>
      <c r="K1008" s="592" t="s">
        <v>52</v>
      </c>
    </row>
    <row r="1009" spans="1:11">
      <c r="A1009" s="568"/>
      <c r="B1009" s="584" t="s">
        <v>499</v>
      </c>
      <c r="C1009" s="589"/>
      <c r="G1009" s="590"/>
      <c r="H1009" s="591"/>
      <c r="I1009" s="591"/>
      <c r="J1009" s="591"/>
      <c r="K1009" s="592"/>
    </row>
    <row r="1010" spans="1:11">
      <c r="A1010" s="568"/>
      <c r="B1010" s="593" t="s">
        <v>624</v>
      </c>
      <c r="C1010" s="589"/>
      <c r="D1010" s="578">
        <v>1</v>
      </c>
      <c r="E1010" s="579" t="s">
        <v>8</v>
      </c>
      <c r="F1010" s="569">
        <v>2</v>
      </c>
      <c r="G1010" s="590">
        <v>3.7</v>
      </c>
      <c r="H1010" s="591">
        <v>7.3</v>
      </c>
      <c r="I1010" s="591">
        <v>0.125</v>
      </c>
      <c r="J1010" s="591">
        <f>PRODUCT(D1010:I1010)</f>
        <v>6.7525000000000004</v>
      </c>
      <c r="K1010" s="592"/>
    </row>
    <row r="1011" spans="1:11">
      <c r="A1011" s="568"/>
      <c r="B1011" s="593" t="s">
        <v>1359</v>
      </c>
      <c r="C1011" s="589"/>
      <c r="D1011" s="578">
        <v>1</v>
      </c>
      <c r="E1011" s="579" t="s">
        <v>8</v>
      </c>
      <c r="F1011" s="569">
        <v>1</v>
      </c>
      <c r="G1011" s="623">
        <v>2.4500000000000002</v>
      </c>
      <c r="H1011" s="590">
        <v>2.1</v>
      </c>
      <c r="I1011" s="591">
        <v>0.125</v>
      </c>
      <c r="J1011" s="591">
        <f t="shared" ref="J1011:J1012" si="78">PRODUCT(D1011:I1011)</f>
        <v>0.64312500000000006</v>
      </c>
      <c r="K1011" s="592"/>
    </row>
    <row r="1012" spans="1:11">
      <c r="A1012" s="568"/>
      <c r="B1012" s="593" t="s">
        <v>626</v>
      </c>
      <c r="C1012" s="589"/>
      <c r="D1012" s="578">
        <v>1</v>
      </c>
      <c r="E1012" s="579" t="s">
        <v>8</v>
      </c>
      <c r="F1012" s="569">
        <v>1</v>
      </c>
      <c r="G1012" s="623">
        <v>2.4500000000000002</v>
      </c>
      <c r="H1012" s="590">
        <v>2.1</v>
      </c>
      <c r="I1012" s="591">
        <v>0.125</v>
      </c>
      <c r="J1012" s="591">
        <f t="shared" si="78"/>
        <v>0.64312500000000006</v>
      </c>
      <c r="K1012" s="592"/>
    </row>
    <row r="1013" spans="1:11">
      <c r="A1013" s="568"/>
      <c r="B1013" s="593" t="s">
        <v>1375</v>
      </c>
      <c r="C1013" s="606"/>
      <c r="D1013" s="578">
        <v>1</v>
      </c>
      <c r="E1013" s="579" t="s">
        <v>8</v>
      </c>
      <c r="F1013" s="569">
        <v>1</v>
      </c>
      <c r="G1013" s="600">
        <v>2.2000000000000002</v>
      </c>
      <c r="H1013" s="600">
        <v>4</v>
      </c>
      <c r="I1013" s="600">
        <v>0.2</v>
      </c>
      <c r="J1013" s="597">
        <f>PRODUCT(D1013:I1013)</f>
        <v>1.7600000000000002</v>
      </c>
      <c r="K1013" s="592"/>
    </row>
    <row r="1014" spans="1:11">
      <c r="A1014" s="568"/>
      <c r="B1014" s="593" t="s">
        <v>1376</v>
      </c>
      <c r="C1014" s="606"/>
      <c r="D1014" s="578">
        <v>1</v>
      </c>
      <c r="E1014" s="579" t="s">
        <v>8</v>
      </c>
      <c r="F1014" s="569">
        <v>1</v>
      </c>
      <c r="G1014" s="600">
        <v>2.2000000000000002</v>
      </c>
      <c r="H1014" s="600">
        <v>4</v>
      </c>
      <c r="I1014" s="600">
        <v>0.2</v>
      </c>
      <c r="J1014" s="597">
        <f t="shared" ref="J1014:J1015" si="79">PRODUCT(D1014:I1014)</f>
        <v>1.7600000000000002</v>
      </c>
      <c r="K1014" s="592"/>
    </row>
    <row r="1015" spans="1:11">
      <c r="A1015" s="568"/>
      <c r="B1015" s="593" t="s">
        <v>1349</v>
      </c>
      <c r="C1015" s="606"/>
      <c r="D1015" s="578">
        <v>-2</v>
      </c>
      <c r="E1015" s="579" t="s">
        <v>8</v>
      </c>
      <c r="F1015" s="569">
        <v>1</v>
      </c>
      <c r="G1015" s="600">
        <v>0.6</v>
      </c>
      <c r="H1015" s="600">
        <v>0.6</v>
      </c>
      <c r="I1015" s="600">
        <v>0.2</v>
      </c>
      <c r="J1015" s="597">
        <f t="shared" si="79"/>
        <v>-0.14399999999999999</v>
      </c>
      <c r="K1015" s="592"/>
    </row>
    <row r="1016" spans="1:11">
      <c r="A1016" s="568"/>
      <c r="B1016" s="593"/>
      <c r="C1016" s="589"/>
      <c r="G1016" s="590"/>
      <c r="H1016" s="591"/>
      <c r="I1016" s="591"/>
      <c r="J1016" s="605">
        <f>SUM(J1010:J1015)</f>
        <v>11.41475</v>
      </c>
      <c r="K1016" s="592"/>
    </row>
    <row r="1017" spans="1:11">
      <c r="A1017" s="568"/>
      <c r="B1017" s="593"/>
      <c r="C1017" s="589"/>
      <c r="G1017" s="590"/>
      <c r="H1017" s="591"/>
      <c r="I1017" s="591"/>
      <c r="J1017" s="605">
        <f>ROUNDUP(J1016,0)</f>
        <v>12</v>
      </c>
      <c r="K1017" s="592" t="s">
        <v>52</v>
      </c>
    </row>
    <row r="1018" spans="1:11">
      <c r="A1018" s="568"/>
      <c r="B1018" s="584" t="s">
        <v>26</v>
      </c>
      <c r="C1018" s="589"/>
      <c r="G1018" s="612"/>
      <c r="H1018" s="598"/>
      <c r="I1018" s="598"/>
      <c r="J1018" s="598"/>
      <c r="K1018" s="592"/>
    </row>
    <row r="1019" spans="1:11">
      <c r="A1019" s="568"/>
      <c r="B1019" s="593" t="s">
        <v>591</v>
      </c>
      <c r="C1019" s="589"/>
      <c r="D1019" s="578">
        <v>1</v>
      </c>
      <c r="E1019" s="579" t="s">
        <v>8</v>
      </c>
      <c r="F1019" s="569">
        <v>1</v>
      </c>
      <c r="G1019" s="612">
        <v>130.15</v>
      </c>
      <c r="H1019" s="598">
        <v>0.2</v>
      </c>
      <c r="I1019" s="598">
        <v>1.2</v>
      </c>
      <c r="J1019" s="591">
        <f>PRODUCT(D1019:I1019)</f>
        <v>31.236000000000001</v>
      </c>
      <c r="K1019" s="592"/>
    </row>
    <row r="1020" spans="1:11">
      <c r="A1020" s="568"/>
      <c r="B1020" s="593" t="s">
        <v>628</v>
      </c>
      <c r="C1020" s="589"/>
      <c r="D1020" s="578">
        <v>1</v>
      </c>
      <c r="E1020" s="579" t="s">
        <v>8</v>
      </c>
      <c r="F1020" s="569">
        <v>1</v>
      </c>
      <c r="G1020" s="612">
        <v>22</v>
      </c>
      <c r="H1020" s="598">
        <v>0.2</v>
      </c>
      <c r="I1020" s="598">
        <v>0.3</v>
      </c>
      <c r="J1020" s="591">
        <f t="shared" ref="J1020:J1021" si="80">PRODUCT(D1020:I1020)</f>
        <v>1.32</v>
      </c>
      <c r="K1020" s="592"/>
    </row>
    <row r="1021" spans="1:11">
      <c r="A1021" s="568"/>
      <c r="B1021" s="593" t="s">
        <v>623</v>
      </c>
      <c r="C1021" s="589"/>
      <c r="D1021" s="578">
        <v>1</v>
      </c>
      <c r="E1021" s="579" t="s">
        <v>8</v>
      </c>
      <c r="F1021" s="569">
        <v>1</v>
      </c>
      <c r="G1021" s="612">
        <v>28.1</v>
      </c>
      <c r="H1021" s="598">
        <v>0.2</v>
      </c>
      <c r="I1021" s="598">
        <v>0.3</v>
      </c>
      <c r="J1021" s="591">
        <f t="shared" si="80"/>
        <v>1.6860000000000002</v>
      </c>
      <c r="K1021" s="592"/>
    </row>
    <row r="1022" spans="1:11">
      <c r="A1022" s="568"/>
      <c r="B1022" s="593"/>
      <c r="C1022" s="589"/>
      <c r="G1022" s="590"/>
      <c r="H1022" s="591"/>
      <c r="I1022" s="591"/>
      <c r="J1022" s="605">
        <f>SUM(J1019:J1021)</f>
        <v>34.241999999999997</v>
      </c>
      <c r="K1022" s="592"/>
    </row>
    <row r="1023" spans="1:11">
      <c r="A1023" s="568"/>
      <c r="B1023" s="593"/>
      <c r="C1023" s="589"/>
      <c r="G1023" s="590"/>
      <c r="H1023" s="591"/>
      <c r="I1023" s="591"/>
      <c r="J1023" s="605">
        <f>ROUNDUP(J1022,0)</f>
        <v>35</v>
      </c>
      <c r="K1023" s="592" t="s">
        <v>52</v>
      </c>
    </row>
    <row r="1024" spans="1:11">
      <c r="A1024" s="568"/>
      <c r="B1024" s="584" t="s">
        <v>62</v>
      </c>
      <c r="C1024" s="589"/>
      <c r="G1024" s="590"/>
      <c r="H1024" s="591"/>
      <c r="I1024" s="591"/>
      <c r="J1024" s="605"/>
      <c r="K1024" s="592"/>
    </row>
    <row r="1025" spans="1:11">
      <c r="A1025" s="568"/>
      <c r="B1025" s="593" t="s">
        <v>14</v>
      </c>
      <c r="C1025" s="589"/>
      <c r="D1025" s="578">
        <v>1</v>
      </c>
      <c r="E1025" s="579" t="s">
        <v>8</v>
      </c>
      <c r="F1025" s="569">
        <v>2</v>
      </c>
      <c r="G1025" s="612">
        <v>7.3</v>
      </c>
      <c r="H1025" s="598">
        <v>0.2</v>
      </c>
      <c r="I1025" s="598">
        <v>0.2</v>
      </c>
      <c r="J1025" s="591">
        <f>PRODUCT(D1025:I1025)</f>
        <v>0.58399999999999996</v>
      </c>
      <c r="K1025" s="592"/>
    </row>
    <row r="1026" spans="1:11">
      <c r="A1026" s="568"/>
      <c r="B1026" s="593"/>
      <c r="C1026" s="589"/>
      <c r="D1026" s="578">
        <v>1</v>
      </c>
      <c r="E1026" s="579" t="s">
        <v>8</v>
      </c>
      <c r="F1026" s="569">
        <v>2</v>
      </c>
      <c r="G1026" s="612">
        <v>3.7</v>
      </c>
      <c r="H1026" s="598">
        <v>0.2</v>
      </c>
      <c r="I1026" s="598">
        <v>0.2</v>
      </c>
      <c r="J1026" s="591">
        <f>PRODUCT(D1026:I1026)</f>
        <v>0.29600000000000004</v>
      </c>
      <c r="K1026" s="592"/>
    </row>
    <row r="1027" spans="1:11">
      <c r="A1027" s="568"/>
      <c r="B1027" s="593"/>
      <c r="C1027" s="589"/>
      <c r="G1027" s="590"/>
      <c r="H1027" s="591"/>
      <c r="I1027" s="591"/>
      <c r="J1027" s="605">
        <f>SUM(J1025:J1026)</f>
        <v>0.88</v>
      </c>
      <c r="K1027" s="592"/>
    </row>
    <row r="1028" spans="1:11">
      <c r="A1028" s="568"/>
      <c r="B1028" s="593"/>
      <c r="C1028" s="589"/>
      <c r="G1028" s="590"/>
      <c r="H1028" s="591"/>
      <c r="I1028" s="591"/>
      <c r="J1028" s="605">
        <f>ROUNDUP(J1027,0)</f>
        <v>1</v>
      </c>
      <c r="K1028" s="592" t="s">
        <v>52</v>
      </c>
    </row>
    <row r="1029" spans="1:11">
      <c r="A1029" s="568"/>
      <c r="B1029" s="584" t="s">
        <v>61</v>
      </c>
      <c r="C1029" s="589"/>
      <c r="G1029" s="590"/>
      <c r="H1029" s="591"/>
      <c r="I1029" s="591"/>
      <c r="J1029" s="591"/>
      <c r="K1029" s="592"/>
    </row>
    <row r="1030" spans="1:11">
      <c r="A1030" s="568"/>
      <c r="B1030" s="593" t="s">
        <v>587</v>
      </c>
      <c r="C1030" s="589"/>
      <c r="D1030" s="578">
        <v>1</v>
      </c>
      <c r="E1030" s="579" t="s">
        <v>8</v>
      </c>
      <c r="F1030" s="569">
        <v>4</v>
      </c>
      <c r="G1030" s="590">
        <f>1.2+0.2+0.2</f>
        <v>1.5999999999999999</v>
      </c>
      <c r="H1030" s="591">
        <v>0.6</v>
      </c>
      <c r="I1030" s="620">
        <v>6.25E-2</v>
      </c>
      <c r="J1030" s="591">
        <f t="shared" ref="J1030:J1031" si="81">PRODUCT(D1030:I1030)</f>
        <v>0.23999999999999996</v>
      </c>
      <c r="K1030" s="592"/>
    </row>
    <row r="1031" spans="1:11">
      <c r="A1031" s="568"/>
      <c r="B1031" s="593" t="s">
        <v>29</v>
      </c>
      <c r="C1031" s="589"/>
      <c r="D1031" s="578">
        <v>1</v>
      </c>
      <c r="E1031" s="579" t="s">
        <v>8</v>
      </c>
      <c r="F1031" s="569">
        <v>4</v>
      </c>
      <c r="G1031" s="590">
        <f>1+0.2+0.2</f>
        <v>1.4</v>
      </c>
      <c r="H1031" s="591">
        <v>0.85</v>
      </c>
      <c r="I1031" s="620">
        <v>6.25E-2</v>
      </c>
      <c r="J1031" s="591">
        <f t="shared" si="81"/>
        <v>0.29749999999999999</v>
      </c>
      <c r="K1031" s="592"/>
    </row>
    <row r="1032" spans="1:11">
      <c r="A1032" s="568"/>
      <c r="B1032" s="593"/>
      <c r="C1032" s="589"/>
      <c r="G1032" s="590"/>
      <c r="H1032" s="591"/>
      <c r="I1032" s="591"/>
      <c r="J1032" s="605">
        <f>SUM(J1030:J1031)</f>
        <v>0.53749999999999998</v>
      </c>
      <c r="K1032" s="592"/>
    </row>
    <row r="1033" spans="1:11">
      <c r="A1033" s="568"/>
      <c r="B1033" s="593"/>
      <c r="C1033" s="589"/>
      <c r="G1033" s="590"/>
      <c r="H1033" s="591"/>
      <c r="I1033" s="591"/>
      <c r="J1033" s="605">
        <f>ROUNDUP(J1032,0)</f>
        <v>1</v>
      </c>
      <c r="K1033" s="592" t="s">
        <v>52</v>
      </c>
    </row>
    <row r="1034" spans="1:11">
      <c r="A1034" s="568"/>
      <c r="B1034" s="576" t="s">
        <v>633</v>
      </c>
      <c r="C1034" s="589"/>
      <c r="G1034" s="590"/>
      <c r="H1034" s="591"/>
      <c r="I1034" s="591"/>
      <c r="J1034" s="591"/>
      <c r="K1034" s="592"/>
    </row>
    <row r="1035" spans="1:11">
      <c r="A1035" s="568"/>
      <c r="B1035" s="593" t="s">
        <v>503</v>
      </c>
      <c r="C1035" s="589"/>
      <c r="D1035" s="578">
        <v>1</v>
      </c>
      <c r="E1035" s="579" t="s">
        <v>8</v>
      </c>
      <c r="F1035" s="569">
        <v>1</v>
      </c>
      <c r="G1035" s="590">
        <v>2.5</v>
      </c>
      <c r="H1035" s="591">
        <v>1</v>
      </c>
      <c r="I1035" s="591">
        <v>0.125</v>
      </c>
      <c r="J1035" s="591">
        <f>PRODUCT(D1035:I1035)</f>
        <v>0.3125</v>
      </c>
      <c r="K1035" s="592"/>
    </row>
    <row r="1036" spans="1:11">
      <c r="A1036" s="568"/>
      <c r="B1036" s="593" t="s">
        <v>610</v>
      </c>
      <c r="C1036" s="589"/>
      <c r="D1036" s="578">
        <v>1</v>
      </c>
      <c r="E1036" s="579" t="s">
        <v>8</v>
      </c>
      <c r="F1036" s="569">
        <v>1</v>
      </c>
      <c r="G1036" s="590">
        <v>1.5</v>
      </c>
      <c r="H1036" s="591">
        <v>1</v>
      </c>
      <c r="I1036" s="591">
        <v>0.125</v>
      </c>
      <c r="J1036" s="591">
        <f>PRODUCT(D1036:I1036)</f>
        <v>0.1875</v>
      </c>
      <c r="K1036" s="592"/>
    </row>
    <row r="1037" spans="1:11">
      <c r="A1037" s="568"/>
      <c r="B1037" s="593" t="s">
        <v>501</v>
      </c>
      <c r="C1037" s="589"/>
      <c r="D1037" s="578">
        <v>1</v>
      </c>
      <c r="E1037" s="579" t="s">
        <v>8</v>
      </c>
      <c r="F1037" s="569">
        <v>1</v>
      </c>
      <c r="G1037" s="590">
        <v>1</v>
      </c>
      <c r="H1037" s="591">
        <v>0.2</v>
      </c>
      <c r="I1037" s="591">
        <v>0.6</v>
      </c>
      <c r="J1037" s="591">
        <f>PRODUCT(D1037:I1037)</f>
        <v>0.12</v>
      </c>
      <c r="K1037" s="592"/>
    </row>
    <row r="1038" spans="1:11">
      <c r="A1038" s="568"/>
      <c r="B1038" s="593" t="s">
        <v>500</v>
      </c>
      <c r="C1038" s="589"/>
      <c r="D1038" s="578">
        <v>0.5</v>
      </c>
      <c r="E1038" s="579" t="s">
        <v>8</v>
      </c>
      <c r="F1038" s="569">
        <v>8</v>
      </c>
      <c r="G1038" s="590">
        <v>1</v>
      </c>
      <c r="H1038" s="591">
        <v>0.3</v>
      </c>
      <c r="I1038" s="591">
        <v>0.15</v>
      </c>
      <c r="J1038" s="591">
        <f>PRODUCT(D1038:I1038)</f>
        <v>0.18</v>
      </c>
      <c r="K1038" s="592"/>
    </row>
    <row r="1039" spans="1:11">
      <c r="A1039" s="568"/>
      <c r="B1039" s="593"/>
      <c r="C1039" s="589"/>
      <c r="G1039" s="590"/>
      <c r="H1039" s="591"/>
      <c r="I1039" s="591"/>
      <c r="J1039" s="605">
        <f>SUM(J1035:J1038)</f>
        <v>0.8</v>
      </c>
      <c r="K1039" s="592"/>
    </row>
    <row r="1040" spans="1:11">
      <c r="A1040" s="568"/>
      <c r="B1040" s="593"/>
      <c r="C1040" s="589"/>
      <c r="G1040" s="590"/>
      <c r="H1040" s="591"/>
      <c r="I1040" s="591"/>
      <c r="J1040" s="605">
        <f>ROUNDUP(J1039,0)</f>
        <v>1</v>
      </c>
      <c r="K1040" s="592" t="s">
        <v>52</v>
      </c>
    </row>
    <row r="1041" spans="1:11">
      <c r="A1041" s="568"/>
      <c r="B1041" s="593"/>
      <c r="C1041" s="589"/>
      <c r="G1041" s="590"/>
      <c r="H1041" s="591"/>
      <c r="I1041" s="591"/>
      <c r="J1041" s="591"/>
      <c r="K1041" s="592"/>
    </row>
    <row r="1042" spans="1:11">
      <c r="A1042" s="568"/>
      <c r="B1042" s="572" t="s">
        <v>58</v>
      </c>
      <c r="C1042" s="589"/>
      <c r="G1042" s="590"/>
      <c r="H1042" s="591"/>
      <c r="I1042" s="591"/>
      <c r="J1042" s="605">
        <f>J996+J1008+J1017+J1023+J1033+J1040+J1028</f>
        <v>74</v>
      </c>
      <c r="K1042" s="592" t="s">
        <v>52</v>
      </c>
    </row>
    <row r="1043" spans="1:11">
      <c r="A1043" s="568"/>
      <c r="B1043" s="593"/>
      <c r="C1043" s="589"/>
      <c r="G1043" s="590"/>
      <c r="H1043" s="591"/>
      <c r="I1043" s="591"/>
      <c r="J1043" s="591"/>
      <c r="K1043" s="592"/>
    </row>
    <row r="1044" spans="1:11" s="575" customFormat="1" ht="123" customHeight="1">
      <c r="A1044" s="583">
        <f>A432+1</f>
        <v>8</v>
      </c>
      <c r="B1044" s="723" t="str">
        <f>'BOQ-C&amp;I'!C46</f>
        <v>Supplying and fixing of Precast slab RCC 1:2:4 (1 of Cement : 2 of  M.Sand : 4 of Aggregate) for the following thickness using 20mm downgrade size hard broken stone jelly including the cost of molding with / without perforation of size as per drawing, labour charges, materials, finishing smooth on exposed surfaces, curing, transporting to the site, lead &amp; lifts fixing in position, etc complete but excluding the cost of steel reinforcement and cost of shuttering and as directed by the departmental officers.</v>
      </c>
      <c r="C1044" s="723"/>
      <c r="D1044" s="723"/>
      <c r="E1044" s="723"/>
      <c r="F1044" s="723"/>
      <c r="G1044" s="723"/>
      <c r="H1044" s="723"/>
      <c r="I1044" s="723"/>
      <c r="J1044" s="723"/>
      <c r="K1044" s="723"/>
    </row>
    <row r="1045" spans="1:11" s="575" customFormat="1" ht="18" customHeight="1">
      <c r="A1045" s="583"/>
      <c r="B1045" s="723" t="str">
        <f>'BOQ-C&amp;I'!C47</f>
        <v>100mm thick, 450mm wide Precast slab</v>
      </c>
      <c r="C1045" s="723"/>
      <c r="D1045" s="723"/>
      <c r="E1045" s="723"/>
      <c r="F1045" s="723"/>
      <c r="G1045" s="723"/>
      <c r="H1045" s="723"/>
      <c r="I1045" s="723"/>
      <c r="J1045" s="723"/>
      <c r="K1045" s="723"/>
    </row>
    <row r="1046" spans="1:11">
      <c r="A1046" s="568"/>
      <c r="B1046" s="593" t="s">
        <v>506</v>
      </c>
      <c r="C1046" s="589"/>
      <c r="D1046" s="578">
        <v>1</v>
      </c>
      <c r="E1046" s="579" t="s">
        <v>8</v>
      </c>
      <c r="F1046" s="569">
        <v>1</v>
      </c>
      <c r="G1046" s="725">
        <v>10</v>
      </c>
      <c r="H1046" s="726"/>
      <c r="I1046" s="591"/>
      <c r="J1046" s="605">
        <f>PRODUCT(D1046:I1046)</f>
        <v>10</v>
      </c>
      <c r="K1046" s="592" t="s">
        <v>9</v>
      </c>
    </row>
    <row r="1047" spans="1:11" ht="186.75" customHeight="1">
      <c r="A1047" s="568">
        <f>A1044+1</f>
        <v>9</v>
      </c>
      <c r="B1047" s="723" t="str">
        <f>'BOQ-C&amp;I'!C48</f>
        <v>Providing Plinth protection with PCC 1:3:6 (1cement, 3 fine aggregate and 6 coarse aggregate) 50mm thick using coarse graded aggregate of 20 mm and downsize, top finished smooth while wet and laid with a nominal slope,  over  a  M.Sand   bed   of 75 mm thick including necessary excavation wherever, necessary form work etc . The end slab shall have 115 mm thick brick retaining walls with CM 1:4 (one cement and four fine aggregate) at the edge 300 mm high.  The exposed faces of wall shall be plastered with cement mortar 1:5 - 15 mm thick. The effective separation of panels not exceeding 10 sqm in plan by making grooves or by using glass or other metals strips etc.and also including for providing necessary form work, excavation, refilling, consolidation  and  compaction of  filled   earth, plastering, pointing, curing and reinforcement as complete in all respects complying with relevant standard specification and as directed by the Engineer-in-charge.</v>
      </c>
      <c r="C1047" s="723"/>
      <c r="D1047" s="723"/>
      <c r="E1047" s="723"/>
      <c r="F1047" s="723"/>
      <c r="G1047" s="723"/>
      <c r="H1047" s="723"/>
      <c r="I1047" s="723"/>
      <c r="J1047" s="723"/>
      <c r="K1047" s="723"/>
    </row>
    <row r="1048" spans="1:11">
      <c r="A1048" s="568"/>
      <c r="B1048" s="593" t="s">
        <v>1398</v>
      </c>
      <c r="C1048" s="589"/>
      <c r="D1048" s="578">
        <v>1</v>
      </c>
      <c r="E1048" s="579" t="s">
        <v>8</v>
      </c>
      <c r="F1048" s="569">
        <v>1</v>
      </c>
      <c r="G1048" s="725">
        <v>81</v>
      </c>
      <c r="H1048" s="726"/>
      <c r="I1048" s="591">
        <v>1</v>
      </c>
      <c r="J1048" s="605">
        <f>PRODUCT(D1048:I1048)</f>
        <v>81</v>
      </c>
      <c r="K1048" s="592" t="s">
        <v>9</v>
      </c>
    </row>
    <row r="1049" spans="1:11" s="575" customFormat="1" ht="137.44999999999999" customHeight="1">
      <c r="A1049" s="583">
        <f>A1047+1</f>
        <v>10</v>
      </c>
      <c r="B1049" s="749" t="str">
        <f>'BOQ-C&amp;I'!C49</f>
        <v>Supplying, fabricating and fixing in position of steel  Fe 550D grade Reinforcement for all RCC work with Thermo Mechanically Treated Bars (TMT) conforming to IS 1786 of latest version according to drawings and binding the reinforcement with 18 gauge double fold GI binding wire and providing Concrete / PVC cover blocks to maintain the cover as required. Rate to include all bending, tying grills, placing, transportation, lead &amp; lifts, tools &amp; plants, fuels, all materials, labour charges, wastages , laying at all levels, fixing in position, cost of cover blocks, etc. as complete with all respects complying with relevant standard specification, as directed by the departmental officers.</v>
      </c>
      <c r="C1049" s="749"/>
      <c r="D1049" s="749"/>
      <c r="E1049" s="749"/>
      <c r="F1049" s="749"/>
      <c r="G1049" s="749"/>
      <c r="H1049" s="749"/>
      <c r="I1049" s="749"/>
      <c r="J1049" s="749"/>
      <c r="K1049" s="749"/>
    </row>
    <row r="1050" spans="1:11">
      <c r="A1050" s="568"/>
      <c r="B1050" s="593"/>
      <c r="C1050" s="589"/>
      <c r="G1050" s="624" t="s">
        <v>52</v>
      </c>
      <c r="H1050" s="625" t="s">
        <v>661</v>
      </c>
      <c r="I1050" s="625"/>
      <c r="J1050" s="618"/>
      <c r="K1050" s="592"/>
    </row>
    <row r="1051" spans="1:11">
      <c r="A1051" s="568"/>
      <c r="B1051" s="593" t="s">
        <v>635</v>
      </c>
      <c r="C1051" s="589"/>
      <c r="G1051" s="590">
        <f>'Detailed Estimate'!J470</f>
        <v>350</v>
      </c>
      <c r="H1051" s="591">
        <v>7.0000000000000007E-2</v>
      </c>
      <c r="I1051" s="591"/>
      <c r="J1051" s="598">
        <f>ROUNDUP(PRODUCT(G1051:I1051),2)</f>
        <v>24.5</v>
      </c>
      <c r="K1051" s="592"/>
    </row>
    <row r="1052" spans="1:11">
      <c r="A1052" s="568"/>
      <c r="B1052" s="593" t="s">
        <v>495</v>
      </c>
      <c r="C1052" s="589"/>
      <c r="G1052" s="590">
        <f>'Detailed Estimate'!J556</f>
        <v>42</v>
      </c>
      <c r="H1052" s="591">
        <v>0.17499999999999999</v>
      </c>
      <c r="I1052" s="591"/>
      <c r="J1052" s="598">
        <f t="shared" ref="J1052:J1061" si="82">ROUNDUP(PRODUCT(G1052:I1052),2)</f>
        <v>7.35</v>
      </c>
      <c r="K1052" s="592"/>
    </row>
    <row r="1053" spans="1:11">
      <c r="A1053" s="568"/>
      <c r="B1053" s="593" t="s">
        <v>47</v>
      </c>
      <c r="C1053" s="589"/>
      <c r="G1053" s="590">
        <f>J996+J965+J941+J809+J639+J581</f>
        <v>170</v>
      </c>
      <c r="H1053" s="591">
        <v>0.25</v>
      </c>
      <c r="I1053" s="591"/>
      <c r="J1053" s="598">
        <f t="shared" si="82"/>
        <v>42.5</v>
      </c>
      <c r="K1053" s="592"/>
    </row>
    <row r="1054" spans="1:11">
      <c r="A1054" s="568"/>
      <c r="B1054" s="593" t="s">
        <v>515</v>
      </c>
      <c r="C1054" s="589"/>
      <c r="G1054" s="590">
        <f>J1008+J968+J944+J874+J708</f>
        <v>225</v>
      </c>
      <c r="H1054" s="591">
        <v>0.18</v>
      </c>
      <c r="I1054" s="591"/>
      <c r="J1054" s="598">
        <f t="shared" si="82"/>
        <v>40.5</v>
      </c>
      <c r="K1054" s="592"/>
    </row>
    <row r="1055" spans="1:11">
      <c r="A1055" s="568"/>
      <c r="B1055" s="593" t="s">
        <v>516</v>
      </c>
      <c r="C1055" s="589"/>
      <c r="G1055" s="590">
        <f>J1017+J971+J947+J889+J726+J611</f>
        <v>260</v>
      </c>
      <c r="H1055" s="591">
        <v>7.4999999999999997E-2</v>
      </c>
      <c r="I1055" s="591"/>
      <c r="J1055" s="598">
        <f t="shared" si="82"/>
        <v>19.5</v>
      </c>
      <c r="K1055" s="592"/>
    </row>
    <row r="1056" spans="1:11">
      <c r="A1056" s="568"/>
      <c r="B1056" s="593" t="s">
        <v>62</v>
      </c>
      <c r="C1056" s="589"/>
      <c r="G1056" s="590">
        <f>J1028+J977+J953+J909+J761</f>
        <v>22</v>
      </c>
      <c r="H1056" s="591">
        <v>0.12</v>
      </c>
      <c r="I1056" s="591"/>
      <c r="J1056" s="598">
        <f t="shared" si="82"/>
        <v>2.64</v>
      </c>
      <c r="K1056" s="592"/>
    </row>
    <row r="1057" spans="1:11">
      <c r="A1057" s="568"/>
      <c r="B1057" s="593" t="s">
        <v>61</v>
      </c>
      <c r="C1057" s="589"/>
      <c r="G1057" s="590">
        <f>J1033+J980+J956+J915+J772</f>
        <v>9</v>
      </c>
      <c r="H1057" s="591">
        <v>7.0000000000000007E-2</v>
      </c>
      <c r="I1057" s="591"/>
      <c r="J1057" s="598">
        <f t="shared" si="82"/>
        <v>0.63</v>
      </c>
      <c r="K1057" s="592"/>
    </row>
    <row r="1058" spans="1:11">
      <c r="A1058" s="568"/>
      <c r="B1058" s="593" t="s">
        <v>56</v>
      </c>
      <c r="C1058" s="589"/>
      <c r="G1058" s="590">
        <f>J1023+J598</f>
        <v>85</v>
      </c>
      <c r="H1058" s="591">
        <v>0.2</v>
      </c>
      <c r="I1058" s="591"/>
      <c r="J1058" s="598">
        <f t="shared" si="82"/>
        <v>17</v>
      </c>
      <c r="K1058" s="592"/>
    </row>
    <row r="1059" spans="1:11">
      <c r="A1059" s="568"/>
      <c r="B1059" s="593" t="s">
        <v>631</v>
      </c>
      <c r="C1059" s="589"/>
      <c r="G1059" s="590">
        <f>J1040+J974+J950+J892+J740+J604</f>
        <v>32</v>
      </c>
      <c r="H1059" s="591">
        <v>0.12</v>
      </c>
      <c r="I1059" s="591"/>
      <c r="J1059" s="598">
        <f t="shared" si="82"/>
        <v>3.84</v>
      </c>
      <c r="K1059" s="592"/>
    </row>
    <row r="1060" spans="1:11">
      <c r="A1060" s="568"/>
      <c r="B1060" s="593" t="s">
        <v>634</v>
      </c>
      <c r="C1060" s="589"/>
      <c r="G1060" s="590">
        <f>J781</f>
        <v>4</v>
      </c>
      <c r="H1060" s="591">
        <v>7.4999999999999997E-2</v>
      </c>
      <c r="I1060" s="591"/>
      <c r="J1060" s="598">
        <f t="shared" si="82"/>
        <v>0.3</v>
      </c>
      <c r="K1060" s="592"/>
    </row>
    <row r="1061" spans="1:11">
      <c r="A1061" s="568"/>
      <c r="B1061" s="593" t="s">
        <v>618</v>
      </c>
      <c r="C1061" s="589"/>
      <c r="G1061" s="590">
        <f>J983+J959+J919+J788</f>
        <v>4</v>
      </c>
      <c r="H1061" s="591">
        <v>0.08</v>
      </c>
      <c r="I1061" s="591"/>
      <c r="J1061" s="598">
        <f t="shared" si="82"/>
        <v>0.32</v>
      </c>
      <c r="K1061" s="592"/>
    </row>
    <row r="1062" spans="1:11">
      <c r="A1062" s="568"/>
      <c r="B1062" s="593"/>
      <c r="C1062" s="589"/>
      <c r="G1062" s="590"/>
      <c r="H1062" s="591"/>
      <c r="I1062" s="591"/>
      <c r="J1062" s="605">
        <f>SUM(J1050:J1061)</f>
        <v>159.07999999999998</v>
      </c>
      <c r="K1062" s="592"/>
    </row>
    <row r="1063" spans="1:11">
      <c r="A1063" s="568"/>
      <c r="B1063" s="572" t="s">
        <v>58</v>
      </c>
      <c r="C1063" s="589"/>
      <c r="G1063" s="590"/>
      <c r="H1063" s="591"/>
      <c r="I1063" s="591"/>
      <c r="J1063" s="605">
        <f>ROUNDUP(J1062,0)</f>
        <v>160</v>
      </c>
      <c r="K1063" s="592" t="s">
        <v>517</v>
      </c>
    </row>
    <row r="1064" spans="1:11">
      <c r="A1064" s="568"/>
      <c r="B1064" s="593"/>
      <c r="C1064" s="589"/>
      <c r="G1064" s="626"/>
      <c r="H1064" s="627"/>
      <c r="I1064" s="627"/>
      <c r="J1064" s="627"/>
      <c r="K1064" s="592"/>
    </row>
    <row r="1065" spans="1:11">
      <c r="A1065" s="568"/>
      <c r="B1065" s="584" t="s">
        <v>130</v>
      </c>
      <c r="C1065" s="589"/>
      <c r="G1065" s="626"/>
      <c r="H1065" s="627"/>
      <c r="I1065" s="627"/>
      <c r="J1065" s="627"/>
      <c r="K1065" s="592"/>
    </row>
    <row r="1066" spans="1:11" s="575" customFormat="1" ht="159.75" customHeight="1">
      <c r="A1066" s="583">
        <f>A1049+1</f>
        <v>11</v>
      </c>
      <c r="B1066" s="720" t="str">
        <f>'BOQ-C&amp;I'!C52</f>
        <v>Supplying and erecting centering for sides and soffits including supports and strutting up to 3.30 m height with all cross bracing for plane surfaces as detailed below, using mild steel sheets of 90 X 60 cm 10 gauge stiffened with MS angle of 25 X 25 X 3mm for boarding, laid over adjustable span &amp; jacks and supported by 50mm dia pipes for general pipes scaffolding systems @ a spacing of 1.20m c/c and vertical connected at a height of 2.0m c/c including 'C' &amp; 'U' clamps and base receiver cup at bottom for connecting pipes etc and removable systems etc...as complete with all respects complying with relevant standard specification, as directed by the departmental officers/ Consultant.</v>
      </c>
      <c r="C1066" s="721"/>
      <c r="D1066" s="721"/>
      <c r="E1066" s="721"/>
      <c r="F1066" s="721"/>
      <c r="G1066" s="721"/>
      <c r="H1066" s="721"/>
      <c r="I1066" s="721"/>
      <c r="J1066" s="721"/>
      <c r="K1066" s="722"/>
    </row>
    <row r="1067" spans="1:11" ht="39" customHeight="1">
      <c r="A1067" s="568" t="s">
        <v>71</v>
      </c>
      <c r="B1067" s="720" t="str">
        <f>'BOQ-C&amp;I'!C53</f>
        <v xml:space="preserve">Reinforced cement concrete Column footing, plinth / grade beam, bed blocks, template surfaces, steps, piers, pile cap, raft slab / beams, RC Binders and such other members </v>
      </c>
      <c r="C1067" s="721"/>
      <c r="D1067" s="721"/>
      <c r="E1067" s="721"/>
      <c r="F1067" s="721"/>
      <c r="G1067" s="721"/>
      <c r="H1067" s="721"/>
      <c r="I1067" s="721"/>
      <c r="J1067" s="721"/>
      <c r="K1067" s="722"/>
    </row>
    <row r="1068" spans="1:11">
      <c r="A1068" s="568"/>
      <c r="B1068" s="584" t="s">
        <v>648</v>
      </c>
      <c r="C1068" s="589"/>
      <c r="G1068" s="590"/>
      <c r="H1068" s="591"/>
      <c r="I1068" s="591"/>
      <c r="J1068" s="591"/>
      <c r="K1068" s="592"/>
    </row>
    <row r="1069" spans="1:11">
      <c r="A1069" s="568"/>
      <c r="B1069" s="593" t="s">
        <v>649</v>
      </c>
      <c r="C1069" s="589"/>
      <c r="D1069" s="578">
        <v>2</v>
      </c>
      <c r="E1069" s="579" t="s">
        <v>8</v>
      </c>
      <c r="F1069" s="569">
        <v>5</v>
      </c>
      <c r="G1069" s="594">
        <f>3.3</f>
        <v>3.3</v>
      </c>
      <c r="H1069" s="595"/>
      <c r="I1069" s="596">
        <v>0.75</v>
      </c>
      <c r="J1069" s="597">
        <f>PRODUCT(D1069:I1069)</f>
        <v>24.75</v>
      </c>
      <c r="K1069" s="592"/>
    </row>
    <row r="1070" spans="1:11">
      <c r="A1070" s="568"/>
      <c r="B1070" s="593"/>
      <c r="C1070" s="589"/>
      <c r="D1070" s="578">
        <v>2</v>
      </c>
      <c r="E1070" s="579" t="s">
        <v>8</v>
      </c>
      <c r="F1070" s="569">
        <v>5</v>
      </c>
      <c r="G1070" s="594"/>
      <c r="H1070" s="595">
        <f>2.3</f>
        <v>2.2999999999999998</v>
      </c>
      <c r="I1070" s="596">
        <v>0.75</v>
      </c>
      <c r="J1070" s="597">
        <f t="shared" ref="J1070:J1119" si="83">PRODUCT(D1070:I1070)</f>
        <v>17.25</v>
      </c>
      <c r="K1070" s="592"/>
    </row>
    <row r="1071" spans="1:11">
      <c r="A1071" s="568"/>
      <c r="B1071" s="593" t="s">
        <v>650</v>
      </c>
      <c r="C1071" s="589"/>
      <c r="D1071" s="578">
        <v>2</v>
      </c>
      <c r="E1071" s="579" t="s">
        <v>8</v>
      </c>
      <c r="F1071" s="569">
        <v>2</v>
      </c>
      <c r="G1071" s="594">
        <f>2.55</f>
        <v>2.5499999999999998</v>
      </c>
      <c r="H1071" s="594"/>
      <c r="I1071" s="596">
        <v>0.7</v>
      </c>
      <c r="J1071" s="597">
        <f t="shared" si="83"/>
        <v>7.1399999999999988</v>
      </c>
      <c r="K1071" s="592"/>
    </row>
    <row r="1072" spans="1:11">
      <c r="A1072" s="568"/>
      <c r="B1072" s="593"/>
      <c r="C1072" s="589"/>
      <c r="D1072" s="578">
        <v>2</v>
      </c>
      <c r="E1072" s="579" t="s">
        <v>8</v>
      </c>
      <c r="F1072" s="569">
        <v>2</v>
      </c>
      <c r="G1072" s="594"/>
      <c r="H1072" s="594">
        <f>2.55</f>
        <v>2.5499999999999998</v>
      </c>
      <c r="I1072" s="596">
        <v>0.7</v>
      </c>
      <c r="J1072" s="597">
        <f t="shared" si="83"/>
        <v>7.1399999999999988</v>
      </c>
      <c r="K1072" s="592"/>
    </row>
    <row r="1073" spans="1:11">
      <c r="A1073" s="568"/>
      <c r="B1073" s="593" t="s">
        <v>651</v>
      </c>
      <c r="C1073" s="589"/>
      <c r="D1073" s="578">
        <v>2</v>
      </c>
      <c r="E1073" s="579" t="s">
        <v>8</v>
      </c>
      <c r="F1073" s="569">
        <v>7</v>
      </c>
      <c r="G1073" s="598">
        <f>2.8</f>
        <v>2.8</v>
      </c>
      <c r="H1073" s="598"/>
      <c r="I1073" s="596">
        <v>0.7</v>
      </c>
      <c r="J1073" s="597">
        <f t="shared" si="83"/>
        <v>27.439999999999994</v>
      </c>
      <c r="K1073" s="592"/>
    </row>
    <row r="1074" spans="1:11">
      <c r="A1074" s="568"/>
      <c r="B1074" s="593"/>
      <c r="C1074" s="589"/>
      <c r="D1074" s="578">
        <v>2</v>
      </c>
      <c r="E1074" s="579" t="s">
        <v>8</v>
      </c>
      <c r="F1074" s="569">
        <v>7</v>
      </c>
      <c r="G1074" s="598"/>
      <c r="H1074" s="598">
        <f>2.1</f>
        <v>2.1</v>
      </c>
      <c r="I1074" s="596">
        <v>0.7</v>
      </c>
      <c r="J1074" s="597">
        <f t="shared" si="83"/>
        <v>20.580000000000002</v>
      </c>
      <c r="K1074" s="592"/>
    </row>
    <row r="1075" spans="1:11">
      <c r="A1075" s="568"/>
      <c r="B1075" s="593" t="s">
        <v>652</v>
      </c>
      <c r="C1075" s="589"/>
      <c r="D1075" s="578">
        <v>2</v>
      </c>
      <c r="E1075" s="579" t="s">
        <v>8</v>
      </c>
      <c r="F1075" s="569">
        <v>1</v>
      </c>
      <c r="G1075" s="594">
        <f>3.2</f>
        <v>3.2</v>
      </c>
      <c r="H1075" s="594"/>
      <c r="I1075" s="596">
        <v>0.6</v>
      </c>
      <c r="J1075" s="597">
        <f t="shared" si="83"/>
        <v>3.84</v>
      </c>
      <c r="K1075" s="592"/>
    </row>
    <row r="1076" spans="1:11">
      <c r="A1076" s="568"/>
      <c r="B1076" s="593"/>
      <c r="C1076" s="589"/>
      <c r="D1076" s="578">
        <v>2</v>
      </c>
      <c r="E1076" s="579" t="s">
        <v>8</v>
      </c>
      <c r="F1076" s="569">
        <v>1</v>
      </c>
      <c r="G1076" s="594"/>
      <c r="H1076" s="594">
        <f>2.5</f>
        <v>2.5</v>
      </c>
      <c r="I1076" s="596">
        <v>0.6</v>
      </c>
      <c r="J1076" s="597">
        <f t="shared" si="83"/>
        <v>3</v>
      </c>
      <c r="K1076" s="592"/>
    </row>
    <row r="1077" spans="1:11">
      <c r="A1077" s="568"/>
      <c r="B1077" s="593" t="s">
        <v>653</v>
      </c>
      <c r="C1077" s="589"/>
      <c r="D1077" s="578">
        <v>2</v>
      </c>
      <c r="E1077" s="579" t="s">
        <v>8</v>
      </c>
      <c r="F1077" s="569">
        <v>1</v>
      </c>
      <c r="G1077" s="594">
        <f>2.5</f>
        <v>2.5</v>
      </c>
      <c r="H1077" s="594"/>
      <c r="I1077" s="596">
        <v>0.7</v>
      </c>
      <c r="J1077" s="597">
        <f t="shared" si="83"/>
        <v>3.5</v>
      </c>
      <c r="K1077" s="592"/>
    </row>
    <row r="1078" spans="1:11">
      <c r="A1078" s="568"/>
      <c r="B1078" s="593"/>
      <c r="C1078" s="589"/>
      <c r="D1078" s="578">
        <v>2</v>
      </c>
      <c r="E1078" s="579" t="s">
        <v>8</v>
      </c>
      <c r="F1078" s="569">
        <v>1</v>
      </c>
      <c r="G1078" s="594"/>
      <c r="H1078" s="594">
        <f>2.5</f>
        <v>2.5</v>
      </c>
      <c r="I1078" s="596">
        <v>0.7</v>
      </c>
      <c r="J1078" s="597">
        <f t="shared" si="83"/>
        <v>3.5</v>
      </c>
      <c r="K1078" s="592"/>
    </row>
    <row r="1079" spans="1:11">
      <c r="A1079" s="568"/>
      <c r="B1079" s="593" t="s">
        <v>654</v>
      </c>
      <c r="C1079" s="589"/>
      <c r="D1079" s="578">
        <v>2</v>
      </c>
      <c r="E1079" s="579" t="s">
        <v>8</v>
      </c>
      <c r="F1079" s="569">
        <v>2</v>
      </c>
      <c r="G1079" s="594">
        <f>1.85</f>
        <v>1.85</v>
      </c>
      <c r="H1079" s="594"/>
      <c r="I1079" s="596">
        <v>0.5</v>
      </c>
      <c r="J1079" s="597">
        <f t="shared" si="83"/>
        <v>3.7</v>
      </c>
      <c r="K1079" s="592"/>
    </row>
    <row r="1080" spans="1:11">
      <c r="A1080" s="568"/>
      <c r="B1080" s="593"/>
      <c r="C1080" s="589"/>
      <c r="D1080" s="578">
        <v>2</v>
      </c>
      <c r="E1080" s="579" t="s">
        <v>8</v>
      </c>
      <c r="F1080" s="569">
        <v>2</v>
      </c>
      <c r="G1080" s="594"/>
      <c r="H1080" s="594">
        <f>1.45</f>
        <v>1.45</v>
      </c>
      <c r="I1080" s="596">
        <v>0.5</v>
      </c>
      <c r="J1080" s="597">
        <f t="shared" si="83"/>
        <v>2.9</v>
      </c>
      <c r="K1080" s="592"/>
    </row>
    <row r="1081" spans="1:11">
      <c r="A1081" s="568"/>
      <c r="B1081" s="593" t="s">
        <v>655</v>
      </c>
      <c r="C1081" s="589"/>
      <c r="D1081" s="578">
        <v>2</v>
      </c>
      <c r="E1081" s="579" t="s">
        <v>8</v>
      </c>
      <c r="F1081" s="569">
        <v>1</v>
      </c>
      <c r="G1081" s="594">
        <f>3.2</f>
        <v>3.2</v>
      </c>
      <c r="H1081" s="594"/>
      <c r="I1081" s="596">
        <v>0.8</v>
      </c>
      <c r="J1081" s="597">
        <f t="shared" si="83"/>
        <v>5.120000000000001</v>
      </c>
      <c r="K1081" s="592"/>
    </row>
    <row r="1082" spans="1:11">
      <c r="A1082" s="568"/>
      <c r="B1082" s="593"/>
      <c r="C1082" s="589"/>
      <c r="D1082" s="578">
        <v>2</v>
      </c>
      <c r="E1082" s="579" t="s">
        <v>8</v>
      </c>
      <c r="F1082" s="569">
        <v>1</v>
      </c>
      <c r="G1082" s="594"/>
      <c r="H1082" s="594">
        <f>2.6</f>
        <v>2.6</v>
      </c>
      <c r="I1082" s="596">
        <v>0.8</v>
      </c>
      <c r="J1082" s="597">
        <f t="shared" si="83"/>
        <v>4.16</v>
      </c>
      <c r="K1082" s="592"/>
    </row>
    <row r="1083" spans="1:11">
      <c r="A1083" s="568"/>
      <c r="B1083" s="593" t="s">
        <v>1006</v>
      </c>
      <c r="C1083" s="589"/>
      <c r="D1083" s="578">
        <v>2</v>
      </c>
      <c r="E1083" s="579" t="s">
        <v>8</v>
      </c>
      <c r="F1083" s="569">
        <v>2</v>
      </c>
      <c r="G1083" s="594">
        <f>2.5</f>
        <v>2.5</v>
      </c>
      <c r="H1083" s="594"/>
      <c r="I1083" s="596">
        <v>0.6</v>
      </c>
      <c r="J1083" s="597">
        <f t="shared" si="83"/>
        <v>6</v>
      </c>
      <c r="K1083" s="592"/>
    </row>
    <row r="1084" spans="1:11">
      <c r="A1084" s="568"/>
      <c r="B1084" s="593"/>
      <c r="C1084" s="589"/>
      <c r="D1084" s="578">
        <v>2</v>
      </c>
      <c r="E1084" s="579" t="s">
        <v>8</v>
      </c>
      <c r="F1084" s="569">
        <v>2</v>
      </c>
      <c r="G1084" s="594"/>
      <c r="H1084" s="594">
        <f>1.9</f>
        <v>1.9</v>
      </c>
      <c r="I1084" s="596">
        <v>0.6</v>
      </c>
      <c r="J1084" s="597">
        <f t="shared" si="83"/>
        <v>4.5599999999999996</v>
      </c>
      <c r="K1084" s="592"/>
    </row>
    <row r="1085" spans="1:11">
      <c r="A1085" s="568"/>
      <c r="B1085" s="593" t="s">
        <v>1007</v>
      </c>
      <c r="C1085" s="589"/>
      <c r="D1085" s="578">
        <v>2</v>
      </c>
      <c r="E1085" s="579" t="s">
        <v>8</v>
      </c>
      <c r="F1085" s="569">
        <v>1</v>
      </c>
      <c r="G1085" s="594">
        <f>3.65</f>
        <v>3.65</v>
      </c>
      <c r="H1085" s="594"/>
      <c r="I1085" s="596">
        <v>0.8</v>
      </c>
      <c r="J1085" s="597">
        <f t="shared" si="83"/>
        <v>5.84</v>
      </c>
      <c r="K1085" s="592"/>
    </row>
    <row r="1086" spans="1:11">
      <c r="A1086" s="568"/>
      <c r="B1086" s="593"/>
      <c r="C1086" s="589"/>
      <c r="D1086" s="578">
        <v>2</v>
      </c>
      <c r="E1086" s="579" t="s">
        <v>8</v>
      </c>
      <c r="F1086" s="569">
        <v>1</v>
      </c>
      <c r="G1086" s="594"/>
      <c r="H1086" s="594">
        <f>2.65</f>
        <v>2.65</v>
      </c>
      <c r="I1086" s="596">
        <v>0.8</v>
      </c>
      <c r="J1086" s="597">
        <f t="shared" si="83"/>
        <v>4.24</v>
      </c>
      <c r="K1086" s="592"/>
    </row>
    <row r="1087" spans="1:11">
      <c r="A1087" s="568"/>
      <c r="B1087" s="593" t="s">
        <v>1008</v>
      </c>
      <c r="C1087" s="589"/>
      <c r="D1087" s="578">
        <v>2</v>
      </c>
      <c r="E1087" s="579" t="s">
        <v>8</v>
      </c>
      <c r="F1087" s="569">
        <v>1</v>
      </c>
      <c r="G1087" s="594">
        <f>2.5</f>
        <v>2.5</v>
      </c>
      <c r="H1087" s="594"/>
      <c r="I1087" s="596">
        <v>0.6</v>
      </c>
      <c r="J1087" s="597">
        <f t="shared" si="83"/>
        <v>3</v>
      </c>
      <c r="K1087" s="592"/>
    </row>
    <row r="1088" spans="1:11">
      <c r="A1088" s="568"/>
      <c r="B1088" s="593"/>
      <c r="C1088" s="589"/>
      <c r="D1088" s="578">
        <v>2</v>
      </c>
      <c r="E1088" s="579" t="s">
        <v>8</v>
      </c>
      <c r="F1088" s="569">
        <v>1</v>
      </c>
      <c r="G1088" s="594"/>
      <c r="H1088" s="594">
        <f>1.4</f>
        <v>1.4</v>
      </c>
      <c r="I1088" s="596">
        <v>0.6</v>
      </c>
      <c r="J1088" s="597">
        <f t="shared" si="83"/>
        <v>1.68</v>
      </c>
      <c r="K1088" s="592"/>
    </row>
    <row r="1089" spans="1:11">
      <c r="A1089" s="568"/>
      <c r="B1089" s="593" t="s">
        <v>1009</v>
      </c>
      <c r="C1089" s="589"/>
      <c r="D1089" s="578">
        <v>2</v>
      </c>
      <c r="E1089" s="579" t="s">
        <v>8</v>
      </c>
      <c r="F1089" s="569">
        <v>6</v>
      </c>
      <c r="G1089" s="594">
        <f>1.5</f>
        <v>1.5</v>
      </c>
      <c r="H1089" s="594"/>
      <c r="I1089" s="596">
        <v>0.375</v>
      </c>
      <c r="J1089" s="597">
        <f t="shared" si="83"/>
        <v>6.75</v>
      </c>
      <c r="K1089" s="592"/>
    </row>
    <row r="1090" spans="1:11">
      <c r="A1090" s="568"/>
      <c r="B1090" s="593"/>
      <c r="C1090" s="589"/>
      <c r="D1090" s="578">
        <v>2</v>
      </c>
      <c r="E1090" s="579" t="s">
        <v>8</v>
      </c>
      <c r="F1090" s="569">
        <v>6</v>
      </c>
      <c r="G1090" s="594"/>
      <c r="H1090" s="594">
        <f>1.2</f>
        <v>1.2</v>
      </c>
      <c r="I1090" s="596">
        <v>0.375</v>
      </c>
      <c r="J1090" s="597">
        <f t="shared" si="83"/>
        <v>5.3999999999999995</v>
      </c>
      <c r="K1090" s="592"/>
    </row>
    <row r="1091" spans="1:11">
      <c r="A1091" s="568"/>
      <c r="B1091" s="593" t="s">
        <v>1010</v>
      </c>
      <c r="C1091" s="589"/>
      <c r="D1091" s="578">
        <v>2</v>
      </c>
      <c r="E1091" s="579" t="s">
        <v>8</v>
      </c>
      <c r="F1091" s="569">
        <v>1</v>
      </c>
      <c r="G1091" s="594">
        <f>2.9</f>
        <v>2.9</v>
      </c>
      <c r="H1091" s="594"/>
      <c r="I1091" s="596">
        <v>0.75</v>
      </c>
      <c r="J1091" s="597">
        <f t="shared" si="83"/>
        <v>4.3499999999999996</v>
      </c>
      <c r="K1091" s="592"/>
    </row>
    <row r="1092" spans="1:11">
      <c r="A1092" s="568"/>
      <c r="B1092" s="593"/>
      <c r="C1092" s="589"/>
      <c r="D1092" s="578">
        <v>2</v>
      </c>
      <c r="E1092" s="579" t="s">
        <v>8</v>
      </c>
      <c r="F1092" s="569">
        <v>1</v>
      </c>
      <c r="G1092" s="594"/>
      <c r="H1092" s="594">
        <f>2.7</f>
        <v>2.7</v>
      </c>
      <c r="I1092" s="596">
        <v>0.75</v>
      </c>
      <c r="J1092" s="597">
        <f t="shared" si="83"/>
        <v>4.0500000000000007</v>
      </c>
      <c r="K1092" s="592"/>
    </row>
    <row r="1093" spans="1:11">
      <c r="A1093" s="568"/>
      <c r="B1093" s="593" t="s">
        <v>1011</v>
      </c>
      <c r="C1093" s="589"/>
      <c r="D1093" s="578">
        <v>2</v>
      </c>
      <c r="E1093" s="579" t="s">
        <v>8</v>
      </c>
      <c r="F1093" s="569">
        <v>2</v>
      </c>
      <c r="G1093" s="594">
        <f>2.2</f>
        <v>2.2000000000000002</v>
      </c>
      <c r="H1093" s="594"/>
      <c r="I1093" s="596">
        <v>0.55000000000000004</v>
      </c>
      <c r="J1093" s="597">
        <f t="shared" si="83"/>
        <v>4.8400000000000007</v>
      </c>
      <c r="K1093" s="592"/>
    </row>
    <row r="1094" spans="1:11">
      <c r="A1094" s="568"/>
      <c r="B1094" s="593"/>
      <c r="C1094" s="589"/>
      <c r="D1094" s="578">
        <v>2</v>
      </c>
      <c r="E1094" s="579" t="s">
        <v>8</v>
      </c>
      <c r="F1094" s="569">
        <v>2</v>
      </c>
      <c r="G1094" s="594"/>
      <c r="H1094" s="594">
        <f>1.65</f>
        <v>1.65</v>
      </c>
      <c r="I1094" s="596">
        <v>0.55000000000000004</v>
      </c>
      <c r="J1094" s="597">
        <f t="shared" si="83"/>
        <v>3.63</v>
      </c>
      <c r="K1094" s="592"/>
    </row>
    <row r="1095" spans="1:11">
      <c r="A1095" s="568"/>
      <c r="B1095" s="593" t="s">
        <v>1012</v>
      </c>
      <c r="C1095" s="589"/>
      <c r="D1095" s="578">
        <v>2</v>
      </c>
      <c r="E1095" s="579" t="s">
        <v>8</v>
      </c>
      <c r="F1095" s="569">
        <v>2</v>
      </c>
      <c r="G1095" s="594">
        <f>2.15</f>
        <v>2.15</v>
      </c>
      <c r="H1095" s="594"/>
      <c r="I1095" s="596">
        <v>0.45</v>
      </c>
      <c r="J1095" s="597">
        <f t="shared" si="83"/>
        <v>3.87</v>
      </c>
      <c r="K1095" s="592"/>
    </row>
    <row r="1096" spans="1:11">
      <c r="A1096" s="568"/>
      <c r="B1096" s="593"/>
      <c r="C1096" s="589"/>
      <c r="D1096" s="578">
        <v>2</v>
      </c>
      <c r="E1096" s="579" t="s">
        <v>8</v>
      </c>
      <c r="F1096" s="569">
        <v>2</v>
      </c>
      <c r="G1096" s="594"/>
      <c r="H1096" s="594">
        <f>2.15</f>
        <v>2.15</v>
      </c>
      <c r="I1096" s="596">
        <v>0.45</v>
      </c>
      <c r="J1096" s="597">
        <f t="shared" si="83"/>
        <v>3.87</v>
      </c>
      <c r="K1096" s="592"/>
    </row>
    <row r="1097" spans="1:11">
      <c r="A1097" s="568"/>
      <c r="B1097" s="593" t="s">
        <v>1013</v>
      </c>
      <c r="C1097" s="589"/>
      <c r="D1097" s="578">
        <v>2</v>
      </c>
      <c r="E1097" s="579" t="s">
        <v>8</v>
      </c>
      <c r="F1097" s="569">
        <v>2</v>
      </c>
      <c r="G1097" s="594">
        <f>1.75</f>
        <v>1.75</v>
      </c>
      <c r="H1097" s="594"/>
      <c r="I1097" s="596">
        <v>0.5</v>
      </c>
      <c r="J1097" s="597">
        <f t="shared" si="83"/>
        <v>3.5</v>
      </c>
      <c r="K1097" s="592"/>
    </row>
    <row r="1098" spans="1:11">
      <c r="A1098" s="568"/>
      <c r="B1098" s="593"/>
      <c r="C1098" s="589"/>
      <c r="D1098" s="578">
        <v>2</v>
      </c>
      <c r="E1098" s="579" t="s">
        <v>8</v>
      </c>
      <c r="F1098" s="569">
        <v>2</v>
      </c>
      <c r="G1098" s="594"/>
      <c r="H1098" s="594">
        <f>1.55</f>
        <v>1.55</v>
      </c>
      <c r="I1098" s="596">
        <v>0.5</v>
      </c>
      <c r="J1098" s="597">
        <f t="shared" si="83"/>
        <v>3.1</v>
      </c>
      <c r="K1098" s="592"/>
    </row>
    <row r="1099" spans="1:11">
      <c r="A1099" s="568"/>
      <c r="B1099" s="593" t="s">
        <v>1014</v>
      </c>
      <c r="C1099" s="589"/>
      <c r="D1099" s="578">
        <v>2</v>
      </c>
      <c r="E1099" s="579" t="s">
        <v>8</v>
      </c>
      <c r="F1099" s="569">
        <v>2</v>
      </c>
      <c r="G1099" s="594">
        <f>2.35</f>
        <v>2.35</v>
      </c>
      <c r="H1099" s="594"/>
      <c r="I1099" s="596">
        <v>0.7</v>
      </c>
      <c r="J1099" s="597">
        <f t="shared" si="83"/>
        <v>6.58</v>
      </c>
      <c r="K1099" s="592"/>
    </row>
    <row r="1100" spans="1:11">
      <c r="A1100" s="568"/>
      <c r="B1100" s="593"/>
      <c r="C1100" s="589"/>
      <c r="D1100" s="578">
        <v>2</v>
      </c>
      <c r="E1100" s="579" t="s">
        <v>8</v>
      </c>
      <c r="F1100" s="569">
        <v>2</v>
      </c>
      <c r="G1100" s="594"/>
      <c r="H1100" s="594">
        <f>2.35</f>
        <v>2.35</v>
      </c>
      <c r="I1100" s="596">
        <v>0.7</v>
      </c>
      <c r="J1100" s="597">
        <f t="shared" si="83"/>
        <v>6.58</v>
      </c>
      <c r="K1100" s="592"/>
    </row>
    <row r="1101" spans="1:11">
      <c r="A1101" s="568"/>
      <c r="B1101" s="593" t="s">
        <v>1015</v>
      </c>
      <c r="C1101" s="589"/>
      <c r="D1101" s="578">
        <v>2</v>
      </c>
      <c r="E1101" s="579" t="s">
        <v>8</v>
      </c>
      <c r="F1101" s="569">
        <v>1</v>
      </c>
      <c r="G1101" s="594">
        <f>3</f>
        <v>3</v>
      </c>
      <c r="H1101" s="594"/>
      <c r="I1101" s="596">
        <v>0.75</v>
      </c>
      <c r="J1101" s="597">
        <f t="shared" si="83"/>
        <v>4.5</v>
      </c>
      <c r="K1101" s="592"/>
    </row>
    <row r="1102" spans="1:11">
      <c r="A1102" s="568"/>
      <c r="B1102" s="593"/>
      <c r="C1102" s="589"/>
      <c r="D1102" s="578">
        <v>2</v>
      </c>
      <c r="E1102" s="579" t="s">
        <v>8</v>
      </c>
      <c r="F1102" s="569">
        <v>1</v>
      </c>
      <c r="G1102" s="594"/>
      <c r="H1102" s="594">
        <f>2.5</f>
        <v>2.5</v>
      </c>
      <c r="I1102" s="596">
        <v>0.75</v>
      </c>
      <c r="J1102" s="597">
        <f t="shared" si="83"/>
        <v>3.75</v>
      </c>
      <c r="K1102" s="592"/>
    </row>
    <row r="1103" spans="1:11">
      <c r="A1103" s="568"/>
      <c r="B1103" s="593" t="s">
        <v>1016</v>
      </c>
      <c r="C1103" s="589"/>
      <c r="D1103" s="578">
        <v>2</v>
      </c>
      <c r="E1103" s="579" t="s">
        <v>8</v>
      </c>
      <c r="F1103" s="569">
        <v>4</v>
      </c>
      <c r="G1103" s="594">
        <f>1</f>
        <v>1</v>
      </c>
      <c r="H1103" s="594"/>
      <c r="I1103" s="596">
        <v>0.3</v>
      </c>
      <c r="J1103" s="597">
        <f t="shared" si="83"/>
        <v>2.4</v>
      </c>
      <c r="K1103" s="592"/>
    </row>
    <row r="1104" spans="1:11">
      <c r="A1104" s="568"/>
      <c r="B1104" s="593"/>
      <c r="C1104" s="589"/>
      <c r="D1104" s="578">
        <v>2</v>
      </c>
      <c r="E1104" s="579" t="s">
        <v>8</v>
      </c>
      <c r="F1104" s="569">
        <v>4</v>
      </c>
      <c r="G1104" s="594"/>
      <c r="H1104" s="594">
        <f>1</f>
        <v>1</v>
      </c>
      <c r="I1104" s="596">
        <v>0.3</v>
      </c>
      <c r="J1104" s="597">
        <f t="shared" si="83"/>
        <v>2.4</v>
      </c>
      <c r="K1104" s="592"/>
    </row>
    <row r="1105" spans="1:11">
      <c r="A1105" s="568"/>
      <c r="B1105" s="593" t="s">
        <v>656</v>
      </c>
      <c r="C1105" s="589"/>
      <c r="D1105" s="578">
        <v>2</v>
      </c>
      <c r="E1105" s="579" t="s">
        <v>8</v>
      </c>
      <c r="F1105" s="569">
        <v>1</v>
      </c>
      <c r="G1105" s="598">
        <f>5</f>
        <v>5</v>
      </c>
      <c r="H1105" s="598"/>
      <c r="I1105" s="596">
        <v>0.9</v>
      </c>
      <c r="J1105" s="597">
        <f t="shared" si="83"/>
        <v>9</v>
      </c>
      <c r="K1105" s="592"/>
    </row>
    <row r="1106" spans="1:11">
      <c r="A1106" s="568"/>
      <c r="B1106" s="593"/>
      <c r="C1106" s="589"/>
      <c r="D1106" s="578">
        <v>2</v>
      </c>
      <c r="E1106" s="579" t="s">
        <v>8</v>
      </c>
      <c r="F1106" s="569">
        <v>1</v>
      </c>
      <c r="G1106" s="598"/>
      <c r="H1106" s="598">
        <f>1.75</f>
        <v>1.75</v>
      </c>
      <c r="I1106" s="596">
        <v>0.9</v>
      </c>
      <c r="J1106" s="597">
        <f t="shared" si="83"/>
        <v>3.15</v>
      </c>
      <c r="K1106" s="592"/>
    </row>
    <row r="1107" spans="1:11">
      <c r="A1107" s="568"/>
      <c r="B1107" s="593" t="s">
        <v>657</v>
      </c>
      <c r="C1107" s="589"/>
      <c r="D1107" s="578">
        <v>2</v>
      </c>
      <c r="E1107" s="579" t="s">
        <v>8</v>
      </c>
      <c r="F1107" s="569">
        <v>1</v>
      </c>
      <c r="G1107" s="594">
        <f>4.9</f>
        <v>4.9000000000000004</v>
      </c>
      <c r="H1107" s="594"/>
      <c r="I1107" s="596">
        <v>0.85</v>
      </c>
      <c r="J1107" s="597">
        <f t="shared" si="83"/>
        <v>8.33</v>
      </c>
      <c r="K1107" s="592"/>
    </row>
    <row r="1108" spans="1:11">
      <c r="A1108" s="568"/>
      <c r="B1108" s="593"/>
      <c r="C1108" s="589"/>
      <c r="D1108" s="578">
        <v>2</v>
      </c>
      <c r="E1108" s="579" t="s">
        <v>8</v>
      </c>
      <c r="F1108" s="569">
        <v>1</v>
      </c>
      <c r="G1108" s="594"/>
      <c r="H1108" s="594">
        <f>2.9</f>
        <v>2.9</v>
      </c>
      <c r="I1108" s="596">
        <v>0.85</v>
      </c>
      <c r="J1108" s="597">
        <f t="shared" si="83"/>
        <v>4.93</v>
      </c>
      <c r="K1108" s="592"/>
    </row>
    <row r="1109" spans="1:11">
      <c r="A1109" s="568"/>
      <c r="B1109" s="593" t="s">
        <v>658</v>
      </c>
      <c r="C1109" s="589"/>
      <c r="D1109" s="578">
        <v>2</v>
      </c>
      <c r="E1109" s="579" t="s">
        <v>8</v>
      </c>
      <c r="F1109" s="569">
        <v>1</v>
      </c>
      <c r="G1109" s="594">
        <f>7.65</f>
        <v>7.65</v>
      </c>
      <c r="H1109" s="594"/>
      <c r="I1109" s="596">
        <v>0.85</v>
      </c>
      <c r="J1109" s="597">
        <f t="shared" si="83"/>
        <v>13.005000000000001</v>
      </c>
      <c r="K1109" s="592"/>
    </row>
    <row r="1110" spans="1:11">
      <c r="A1110" s="568"/>
      <c r="B1110" s="593"/>
      <c r="C1110" s="589"/>
      <c r="D1110" s="578">
        <v>2</v>
      </c>
      <c r="E1110" s="579" t="s">
        <v>8</v>
      </c>
      <c r="F1110" s="569">
        <v>1</v>
      </c>
      <c r="G1110" s="594"/>
      <c r="H1110" s="594">
        <f>3.3</f>
        <v>3.3</v>
      </c>
      <c r="I1110" s="596">
        <v>0.85</v>
      </c>
      <c r="J1110" s="597">
        <f t="shared" si="83"/>
        <v>5.6099999999999994</v>
      </c>
      <c r="K1110" s="592"/>
    </row>
    <row r="1111" spans="1:11">
      <c r="A1111" s="568"/>
      <c r="B1111" s="593" t="s">
        <v>1017</v>
      </c>
      <c r="C1111" s="589"/>
      <c r="D1111" s="578">
        <v>2</v>
      </c>
      <c r="E1111" s="579" t="s">
        <v>8</v>
      </c>
      <c r="F1111" s="569">
        <v>1</v>
      </c>
      <c r="G1111" s="594">
        <f>5.5</f>
        <v>5.5</v>
      </c>
      <c r="H1111" s="594"/>
      <c r="I1111" s="596">
        <v>0.8</v>
      </c>
      <c r="J1111" s="597">
        <f t="shared" si="83"/>
        <v>8.8000000000000007</v>
      </c>
      <c r="K1111" s="592"/>
    </row>
    <row r="1112" spans="1:11">
      <c r="A1112" s="568"/>
      <c r="B1112" s="593"/>
      <c r="C1112" s="589"/>
      <c r="D1112" s="578">
        <v>2</v>
      </c>
      <c r="E1112" s="579" t="s">
        <v>8</v>
      </c>
      <c r="F1112" s="569">
        <v>1</v>
      </c>
      <c r="G1112" s="594"/>
      <c r="H1112" s="594">
        <f>2.8</f>
        <v>2.8</v>
      </c>
      <c r="I1112" s="596">
        <v>0.8</v>
      </c>
      <c r="J1112" s="597">
        <f t="shared" si="83"/>
        <v>4.4799999999999995</v>
      </c>
      <c r="K1112" s="592"/>
    </row>
    <row r="1113" spans="1:11">
      <c r="A1113" s="568"/>
      <c r="B1113" s="593" t="s">
        <v>1018</v>
      </c>
      <c r="C1113" s="589"/>
      <c r="D1113" s="578">
        <v>2</v>
      </c>
      <c r="E1113" s="579" t="s">
        <v>8</v>
      </c>
      <c r="F1113" s="569">
        <v>1</v>
      </c>
      <c r="G1113" s="594">
        <f>5.85</f>
        <v>5.85</v>
      </c>
      <c r="H1113" s="594"/>
      <c r="I1113" s="596">
        <v>0.9</v>
      </c>
      <c r="J1113" s="597">
        <f t="shared" si="83"/>
        <v>10.53</v>
      </c>
      <c r="K1113" s="592"/>
    </row>
    <row r="1114" spans="1:11">
      <c r="A1114" s="568"/>
      <c r="B1114" s="593"/>
      <c r="C1114" s="589"/>
      <c r="D1114" s="578">
        <v>2</v>
      </c>
      <c r="E1114" s="579" t="s">
        <v>8</v>
      </c>
      <c r="F1114" s="569">
        <v>1</v>
      </c>
      <c r="G1114" s="594"/>
      <c r="H1114" s="594">
        <f>2.45</f>
        <v>2.4500000000000002</v>
      </c>
      <c r="I1114" s="596">
        <v>0.9</v>
      </c>
      <c r="J1114" s="597">
        <f t="shared" si="83"/>
        <v>4.41</v>
      </c>
      <c r="K1114" s="592"/>
    </row>
    <row r="1115" spans="1:11">
      <c r="A1115" s="568"/>
      <c r="B1115" s="581" t="s">
        <v>1019</v>
      </c>
      <c r="C1115" s="581"/>
      <c r="D1115" s="578">
        <v>2</v>
      </c>
      <c r="E1115" s="579" t="s">
        <v>8</v>
      </c>
      <c r="F1115" s="569">
        <v>1</v>
      </c>
      <c r="G1115" s="594">
        <f>5.8</f>
        <v>5.8</v>
      </c>
      <c r="H1115" s="594"/>
      <c r="I1115" s="596">
        <v>0.75</v>
      </c>
      <c r="J1115" s="597">
        <f t="shared" si="83"/>
        <v>8.6999999999999993</v>
      </c>
      <c r="K1115" s="592"/>
    </row>
    <row r="1116" spans="1:11">
      <c r="A1116" s="568"/>
      <c r="B1116" s="581"/>
      <c r="C1116" s="581"/>
      <c r="D1116" s="578">
        <v>2</v>
      </c>
      <c r="E1116" s="579" t="s">
        <v>8</v>
      </c>
      <c r="F1116" s="569">
        <v>1</v>
      </c>
      <c r="G1116" s="628"/>
      <c r="H1116" s="594">
        <f>5.7</f>
        <v>5.7</v>
      </c>
      <c r="I1116" s="596">
        <v>0.75</v>
      </c>
      <c r="J1116" s="597">
        <f t="shared" si="83"/>
        <v>8.5500000000000007</v>
      </c>
      <c r="K1116" s="592"/>
    </row>
    <row r="1117" spans="1:11">
      <c r="A1117" s="568"/>
      <c r="B1117" s="581" t="s">
        <v>1020</v>
      </c>
      <c r="C1117" s="581"/>
      <c r="D1117" s="578">
        <v>1</v>
      </c>
      <c r="E1117" s="579" t="s">
        <v>8</v>
      </c>
      <c r="F1117" s="569">
        <v>1</v>
      </c>
      <c r="G1117" s="717">
        <f>30398772/1000000</f>
        <v>30.398772000000001</v>
      </c>
      <c r="H1117" s="718"/>
      <c r="I1117" s="596">
        <v>0.75</v>
      </c>
      <c r="J1117" s="597">
        <f t="shared" si="83"/>
        <v>22.799078999999999</v>
      </c>
      <c r="K1117" s="592"/>
    </row>
    <row r="1118" spans="1:11">
      <c r="A1118" s="568"/>
      <c r="B1118" s="581" t="s">
        <v>1021</v>
      </c>
      <c r="C1118" s="581"/>
      <c r="D1118" s="578">
        <v>2</v>
      </c>
      <c r="E1118" s="579" t="s">
        <v>8</v>
      </c>
      <c r="F1118" s="569">
        <v>1</v>
      </c>
      <c r="G1118" s="581">
        <f>5.025</f>
        <v>5.0250000000000004</v>
      </c>
      <c r="H1118" s="581"/>
      <c r="I1118" s="596">
        <v>0.75</v>
      </c>
      <c r="J1118" s="597">
        <f t="shared" si="83"/>
        <v>7.5375000000000005</v>
      </c>
      <c r="K1118" s="592"/>
    </row>
    <row r="1119" spans="1:11">
      <c r="A1119" s="568"/>
      <c r="B1119" s="581"/>
      <c r="C1119" s="589"/>
      <c r="D1119" s="578">
        <v>2</v>
      </c>
      <c r="E1119" s="579" t="s">
        <v>8</v>
      </c>
      <c r="F1119" s="569">
        <v>1</v>
      </c>
      <c r="G1119" s="581"/>
      <c r="H1119" s="581">
        <f>4.125</f>
        <v>4.125</v>
      </c>
      <c r="I1119" s="596">
        <v>0.75</v>
      </c>
      <c r="J1119" s="597">
        <f t="shared" si="83"/>
        <v>6.1875</v>
      </c>
      <c r="K1119" s="592"/>
    </row>
    <row r="1120" spans="1:11">
      <c r="A1120" s="568"/>
      <c r="B1120" s="584" t="s">
        <v>1421</v>
      </c>
      <c r="C1120" s="599"/>
      <c r="G1120" s="600"/>
      <c r="H1120" s="600"/>
      <c r="I1120" s="600"/>
      <c r="J1120" s="597"/>
      <c r="K1120" s="568"/>
    </row>
    <row r="1121" spans="1:11">
      <c r="A1121" s="568"/>
      <c r="B1121" s="593" t="s">
        <v>650</v>
      </c>
      <c r="C1121" s="599"/>
      <c r="D1121" s="578">
        <v>2</v>
      </c>
      <c r="E1121" s="579" t="s">
        <v>8</v>
      </c>
      <c r="F1121" s="569">
        <v>2</v>
      </c>
      <c r="G1121" s="600">
        <v>1.5</v>
      </c>
      <c r="H1121" s="600">
        <v>1.5</v>
      </c>
      <c r="I1121" s="600">
        <v>1.7</v>
      </c>
      <c r="J1121" s="597">
        <f t="shared" ref="J1121:J1123" si="84">PRODUCT(D1121:I1121)</f>
        <v>15.299999999999999</v>
      </c>
      <c r="K1121" s="568"/>
    </row>
    <row r="1122" spans="1:11">
      <c r="A1122" s="568"/>
      <c r="B1122" s="593" t="s">
        <v>652</v>
      </c>
      <c r="C1122" s="599"/>
      <c r="D1122" s="578">
        <v>2</v>
      </c>
      <c r="E1122" s="579" t="s">
        <v>8</v>
      </c>
      <c r="F1122" s="569">
        <v>1</v>
      </c>
      <c r="G1122" s="600">
        <v>1.2</v>
      </c>
      <c r="H1122" s="600">
        <v>1.2</v>
      </c>
      <c r="I1122" s="600">
        <v>1.7</v>
      </c>
      <c r="J1122" s="597">
        <f t="shared" si="84"/>
        <v>4.8959999999999999</v>
      </c>
      <c r="K1122" s="568"/>
    </row>
    <row r="1123" spans="1:11">
      <c r="A1123" s="568"/>
      <c r="B1123" s="593" t="s">
        <v>653</v>
      </c>
      <c r="C1123" s="599"/>
      <c r="D1123" s="578">
        <v>2</v>
      </c>
      <c r="E1123" s="579" t="s">
        <v>8</v>
      </c>
      <c r="F1123" s="569">
        <v>2</v>
      </c>
      <c r="G1123" s="600">
        <v>1.8</v>
      </c>
      <c r="H1123" s="600">
        <v>2.5</v>
      </c>
      <c r="I1123" s="600">
        <v>1.7</v>
      </c>
      <c r="J1123" s="597">
        <f t="shared" si="84"/>
        <v>30.599999999999998</v>
      </c>
      <c r="K1123" s="568"/>
    </row>
    <row r="1124" spans="1:11">
      <c r="A1124" s="568"/>
      <c r="G1124" s="630"/>
      <c r="H1124" s="630"/>
      <c r="I1124" s="630"/>
      <c r="K1124" s="596"/>
    </row>
    <row r="1125" spans="1:11">
      <c r="A1125" s="568"/>
      <c r="B1125" s="593" t="s">
        <v>1374</v>
      </c>
      <c r="C1125" s="606"/>
      <c r="D1125" s="578">
        <v>1</v>
      </c>
      <c r="E1125" s="579" t="s">
        <v>8</v>
      </c>
      <c r="F1125" s="569">
        <v>1</v>
      </c>
      <c r="G1125" s="600">
        <f>(10.11+4)*2</f>
        <v>28.22</v>
      </c>
      <c r="H1125" s="600"/>
      <c r="I1125" s="600">
        <v>1</v>
      </c>
      <c r="J1125" s="597">
        <f t="shared" ref="J1125" si="85">PRODUCT(D1125:I1125)</f>
        <v>28.22</v>
      </c>
      <c r="K1125" s="596"/>
    </row>
    <row r="1126" spans="1:11">
      <c r="A1126" s="568"/>
      <c r="B1126" s="593" t="s">
        <v>1342</v>
      </c>
      <c r="C1126" s="606"/>
      <c r="D1126" s="578">
        <v>1</v>
      </c>
      <c r="E1126" s="579" t="s">
        <v>8</v>
      </c>
      <c r="F1126" s="569">
        <v>1</v>
      </c>
      <c r="G1126" s="600">
        <v>27</v>
      </c>
      <c r="H1126" s="600"/>
      <c r="I1126" s="600">
        <v>0.3</v>
      </c>
      <c r="J1126" s="597">
        <f>PRODUCT(D1126:I1126)</f>
        <v>8.1</v>
      </c>
      <c r="K1126" s="592"/>
    </row>
    <row r="1127" spans="1:11">
      <c r="A1127" s="568"/>
      <c r="B1127" s="593" t="s">
        <v>1343</v>
      </c>
      <c r="C1127" s="606"/>
      <c r="D1127" s="578">
        <v>1</v>
      </c>
      <c r="E1127" s="579" t="s">
        <v>8</v>
      </c>
      <c r="F1127" s="569">
        <v>1</v>
      </c>
      <c r="G1127" s="600">
        <f>(6.7+2.54)*2</f>
        <v>18.48</v>
      </c>
      <c r="H1127" s="600"/>
      <c r="I1127" s="600">
        <v>0.6</v>
      </c>
      <c r="J1127" s="597">
        <f t="shared" ref="J1127" si="86">PRODUCT(D1127:I1127)</f>
        <v>11.087999999999999</v>
      </c>
      <c r="K1127" s="592"/>
    </row>
    <row r="1128" spans="1:11">
      <c r="A1128" s="568"/>
      <c r="B1128" s="593" t="s">
        <v>1377</v>
      </c>
      <c r="C1128" s="599"/>
      <c r="D1128" s="578">
        <v>1</v>
      </c>
      <c r="E1128" s="579" t="s">
        <v>8</v>
      </c>
      <c r="F1128" s="569">
        <v>1</v>
      </c>
      <c r="G1128" s="600">
        <f>10.3+10.3+3.5+3.5</f>
        <v>27.6</v>
      </c>
      <c r="H1128" s="600"/>
      <c r="I1128" s="600">
        <v>0.4</v>
      </c>
      <c r="J1128" s="597">
        <f>PRODUCT(D1128:I1128)</f>
        <v>11.040000000000001</v>
      </c>
      <c r="K1128" s="592"/>
    </row>
    <row r="1129" spans="1:11">
      <c r="A1129" s="568"/>
      <c r="B1129" s="584" t="s">
        <v>482</v>
      </c>
      <c r="C1129" s="589"/>
      <c r="G1129" s="590"/>
      <c r="H1129" s="591"/>
      <c r="I1129" s="591"/>
      <c r="J1129" s="591"/>
      <c r="K1129" s="592"/>
    </row>
    <row r="1130" spans="1:11">
      <c r="A1130" s="568"/>
      <c r="B1130" s="584" t="s">
        <v>50</v>
      </c>
      <c r="C1130" s="589"/>
      <c r="G1130" s="590"/>
      <c r="H1130" s="591"/>
      <c r="I1130" s="591"/>
      <c r="J1130" s="591"/>
      <c r="K1130" s="592"/>
    </row>
    <row r="1131" spans="1:11">
      <c r="A1131" s="568"/>
      <c r="B1131" s="601" t="s">
        <v>571</v>
      </c>
      <c r="C1131" s="593" t="s">
        <v>1022</v>
      </c>
      <c r="D1131" s="578">
        <v>2</v>
      </c>
      <c r="E1131" s="579" t="s">
        <v>8</v>
      </c>
      <c r="F1131" s="569">
        <v>1</v>
      </c>
      <c r="G1131" s="590">
        <v>27.8</v>
      </c>
      <c r="H1131" s="591"/>
      <c r="I1131" s="591">
        <v>0.45</v>
      </c>
      <c r="J1131" s="597">
        <f t="shared" ref="J1131:J1191" si="87">PRODUCT(D1131:I1131)</f>
        <v>25.02</v>
      </c>
      <c r="K1131" s="592"/>
    </row>
    <row r="1132" spans="1:11">
      <c r="A1132" s="568"/>
      <c r="B1132" s="601" t="s">
        <v>571</v>
      </c>
      <c r="C1132" s="593" t="s">
        <v>1022</v>
      </c>
      <c r="D1132" s="578">
        <v>2</v>
      </c>
      <c r="E1132" s="579" t="s">
        <v>8</v>
      </c>
      <c r="F1132" s="569">
        <v>1</v>
      </c>
      <c r="G1132" s="590">
        <v>5.375</v>
      </c>
      <c r="H1132" s="591"/>
      <c r="I1132" s="591">
        <v>0.6</v>
      </c>
      <c r="J1132" s="597">
        <f t="shared" si="87"/>
        <v>6.45</v>
      </c>
      <c r="K1132" s="592"/>
    </row>
    <row r="1133" spans="1:11">
      <c r="A1133" s="568"/>
      <c r="B1133" s="601" t="s">
        <v>570</v>
      </c>
      <c r="C1133" s="593" t="s">
        <v>1023</v>
      </c>
      <c r="D1133" s="578">
        <v>2</v>
      </c>
      <c r="E1133" s="579" t="s">
        <v>8</v>
      </c>
      <c r="F1133" s="569">
        <v>1</v>
      </c>
      <c r="G1133" s="590">
        <v>7.5</v>
      </c>
      <c r="H1133" s="591"/>
      <c r="I1133" s="591">
        <v>0.45</v>
      </c>
      <c r="J1133" s="597">
        <f t="shared" si="87"/>
        <v>6.75</v>
      </c>
      <c r="K1133" s="592"/>
    </row>
    <row r="1134" spans="1:11">
      <c r="A1134" s="568"/>
      <c r="B1134" s="601" t="s">
        <v>1024</v>
      </c>
      <c r="C1134" s="593" t="s">
        <v>1111</v>
      </c>
      <c r="D1134" s="578">
        <v>2</v>
      </c>
      <c r="E1134" s="579" t="s">
        <v>8</v>
      </c>
      <c r="F1134" s="569">
        <v>1</v>
      </c>
      <c r="G1134" s="590">
        <v>8.1999999999999993</v>
      </c>
      <c r="H1134" s="591"/>
      <c r="I1134" s="591">
        <v>0.45</v>
      </c>
      <c r="J1134" s="597">
        <f t="shared" si="87"/>
        <v>7.38</v>
      </c>
      <c r="K1134" s="592"/>
    </row>
    <row r="1135" spans="1:11">
      <c r="A1135" s="568"/>
      <c r="B1135" s="601" t="s">
        <v>1026</v>
      </c>
      <c r="C1135" s="593" t="s">
        <v>1022</v>
      </c>
      <c r="D1135" s="578">
        <v>2</v>
      </c>
      <c r="E1135" s="579" t="s">
        <v>8</v>
      </c>
      <c r="F1135" s="569">
        <v>1</v>
      </c>
      <c r="G1135" s="590">
        <v>1.425</v>
      </c>
      <c r="H1135" s="591"/>
      <c r="I1135" s="591">
        <v>0.45</v>
      </c>
      <c r="J1135" s="597">
        <f t="shared" si="87"/>
        <v>1.2825</v>
      </c>
      <c r="K1135" s="592"/>
    </row>
    <row r="1136" spans="1:11">
      <c r="A1136" s="568"/>
      <c r="B1136" s="601" t="s">
        <v>1027</v>
      </c>
      <c r="C1136" s="593" t="s">
        <v>1028</v>
      </c>
      <c r="D1136" s="578">
        <v>2</v>
      </c>
      <c r="E1136" s="579" t="s">
        <v>8</v>
      </c>
      <c r="F1136" s="569">
        <v>1</v>
      </c>
      <c r="G1136" s="590">
        <v>5.0750000000000002</v>
      </c>
      <c r="H1136" s="591"/>
      <c r="I1136" s="591">
        <v>0.45</v>
      </c>
      <c r="J1136" s="597">
        <f t="shared" si="87"/>
        <v>4.5674999999999999</v>
      </c>
      <c r="K1136" s="592"/>
    </row>
    <row r="1137" spans="1:11">
      <c r="A1137" s="568"/>
      <c r="B1137" s="601" t="s">
        <v>1029</v>
      </c>
      <c r="C1137" s="593" t="s">
        <v>1030</v>
      </c>
      <c r="D1137" s="578">
        <v>2</v>
      </c>
      <c r="E1137" s="579" t="s">
        <v>8</v>
      </c>
      <c r="F1137" s="569">
        <v>1</v>
      </c>
      <c r="G1137" s="590">
        <v>5.0750000000000002</v>
      </c>
      <c r="H1137" s="591"/>
      <c r="I1137" s="591">
        <v>0.6</v>
      </c>
      <c r="J1137" s="597">
        <f t="shared" si="87"/>
        <v>6.09</v>
      </c>
      <c r="K1137" s="592"/>
    </row>
    <row r="1138" spans="1:11">
      <c r="A1138" s="568"/>
      <c r="B1138" s="601" t="s">
        <v>1031</v>
      </c>
      <c r="C1138" s="593" t="s">
        <v>1030</v>
      </c>
      <c r="D1138" s="578">
        <v>2</v>
      </c>
      <c r="E1138" s="579" t="s">
        <v>8</v>
      </c>
      <c r="F1138" s="569">
        <v>1</v>
      </c>
      <c r="G1138" s="590">
        <v>5.8</v>
      </c>
      <c r="H1138" s="591"/>
      <c r="I1138" s="591">
        <v>0.45</v>
      </c>
      <c r="J1138" s="597">
        <f t="shared" si="87"/>
        <v>5.22</v>
      </c>
      <c r="K1138" s="592"/>
    </row>
    <row r="1139" spans="1:11">
      <c r="A1139" s="568"/>
      <c r="B1139" s="601" t="s">
        <v>1032</v>
      </c>
      <c r="C1139" s="593" t="s">
        <v>575</v>
      </c>
      <c r="D1139" s="578">
        <v>2</v>
      </c>
      <c r="E1139" s="579" t="s">
        <v>8</v>
      </c>
      <c r="F1139" s="569">
        <v>1</v>
      </c>
      <c r="G1139" s="590">
        <v>21.9</v>
      </c>
      <c r="H1139" s="591"/>
      <c r="I1139" s="591">
        <v>0.45</v>
      </c>
      <c r="J1139" s="597">
        <f t="shared" si="87"/>
        <v>19.71</v>
      </c>
      <c r="K1139" s="592"/>
    </row>
    <row r="1140" spans="1:11">
      <c r="A1140" s="568"/>
      <c r="B1140" s="601" t="s">
        <v>1033</v>
      </c>
      <c r="C1140" s="593" t="s">
        <v>577</v>
      </c>
      <c r="D1140" s="578">
        <v>2</v>
      </c>
      <c r="E1140" s="579" t="s">
        <v>8</v>
      </c>
      <c r="F1140" s="569">
        <v>1</v>
      </c>
      <c r="G1140" s="590">
        <v>2.9</v>
      </c>
      <c r="H1140" s="591"/>
      <c r="I1140" s="591">
        <v>0.45</v>
      </c>
      <c r="J1140" s="597">
        <f t="shared" si="87"/>
        <v>2.61</v>
      </c>
      <c r="K1140" s="592"/>
    </row>
    <row r="1141" spans="1:11">
      <c r="A1141" s="568"/>
      <c r="B1141" s="601" t="s">
        <v>1034</v>
      </c>
      <c r="C1141" s="593" t="s">
        <v>573</v>
      </c>
      <c r="D1141" s="578">
        <v>2</v>
      </c>
      <c r="E1141" s="579" t="s">
        <v>8</v>
      </c>
      <c r="F1141" s="569">
        <v>1</v>
      </c>
      <c r="G1141" s="590">
        <v>21.774999999999999</v>
      </c>
      <c r="H1141" s="591"/>
      <c r="I1141" s="591">
        <v>0.45</v>
      </c>
      <c r="J1141" s="597">
        <f t="shared" si="87"/>
        <v>19.5975</v>
      </c>
      <c r="K1141" s="592"/>
    </row>
    <row r="1142" spans="1:11">
      <c r="A1142" s="568"/>
      <c r="B1142" s="601" t="s">
        <v>1035</v>
      </c>
      <c r="C1142" s="593" t="s">
        <v>574</v>
      </c>
      <c r="D1142" s="578">
        <v>2</v>
      </c>
      <c r="E1142" s="579" t="s">
        <v>8</v>
      </c>
      <c r="F1142" s="569">
        <v>1</v>
      </c>
      <c r="G1142" s="590">
        <v>6.4</v>
      </c>
      <c r="H1142" s="591"/>
      <c r="I1142" s="591">
        <v>0.6</v>
      </c>
      <c r="J1142" s="597">
        <f t="shared" si="87"/>
        <v>7.68</v>
      </c>
      <c r="K1142" s="592"/>
    </row>
    <row r="1143" spans="1:11">
      <c r="A1143" s="568"/>
      <c r="B1143" s="601" t="s">
        <v>1036</v>
      </c>
      <c r="C1143" s="593" t="s">
        <v>572</v>
      </c>
      <c r="D1143" s="578">
        <v>2</v>
      </c>
      <c r="E1143" s="579" t="s">
        <v>8</v>
      </c>
      <c r="F1143" s="569">
        <v>1</v>
      </c>
      <c r="G1143" s="590">
        <v>6</v>
      </c>
      <c r="H1143" s="591"/>
      <c r="I1143" s="591">
        <v>0.45</v>
      </c>
      <c r="J1143" s="597">
        <f t="shared" si="87"/>
        <v>5.4</v>
      </c>
      <c r="K1143" s="592"/>
    </row>
    <row r="1144" spans="1:11">
      <c r="A1144" s="568"/>
      <c r="B1144" s="601" t="s">
        <v>1037</v>
      </c>
      <c r="C1144" s="593" t="s">
        <v>1038</v>
      </c>
      <c r="D1144" s="578">
        <v>2</v>
      </c>
      <c r="E1144" s="579" t="s">
        <v>8</v>
      </c>
      <c r="F1144" s="569">
        <v>1</v>
      </c>
      <c r="G1144" s="590">
        <v>2.5</v>
      </c>
      <c r="H1144" s="591"/>
      <c r="I1144" s="591">
        <v>0.45</v>
      </c>
      <c r="J1144" s="597">
        <f t="shared" si="87"/>
        <v>2.25</v>
      </c>
      <c r="K1144" s="592"/>
    </row>
    <row r="1145" spans="1:11">
      <c r="A1145" s="568"/>
      <c r="B1145" s="601" t="s">
        <v>1039</v>
      </c>
      <c r="C1145" s="593" t="s">
        <v>1040</v>
      </c>
      <c r="D1145" s="578">
        <v>2</v>
      </c>
      <c r="E1145" s="579" t="s">
        <v>8</v>
      </c>
      <c r="F1145" s="569">
        <v>2</v>
      </c>
      <c r="G1145" s="590">
        <v>1.1000000000000001</v>
      </c>
      <c r="H1145" s="591"/>
      <c r="I1145" s="591">
        <v>0.45</v>
      </c>
      <c r="J1145" s="597">
        <f t="shared" si="87"/>
        <v>1.9800000000000002</v>
      </c>
      <c r="K1145" s="592"/>
    </row>
    <row r="1146" spans="1:11">
      <c r="A1146" s="568"/>
      <c r="B1146" s="601" t="s">
        <v>1041</v>
      </c>
      <c r="C1146" s="593" t="s">
        <v>547</v>
      </c>
      <c r="D1146" s="578">
        <v>2</v>
      </c>
      <c r="E1146" s="579" t="s">
        <v>8</v>
      </c>
      <c r="F1146" s="569">
        <v>1</v>
      </c>
      <c r="G1146" s="590">
        <v>7.9</v>
      </c>
      <c r="H1146" s="591"/>
      <c r="I1146" s="591">
        <v>0.45</v>
      </c>
      <c r="J1146" s="597">
        <f t="shared" si="87"/>
        <v>7.11</v>
      </c>
      <c r="K1146" s="592"/>
    </row>
    <row r="1147" spans="1:11">
      <c r="A1147" s="568"/>
      <c r="B1147" s="601" t="s">
        <v>1042</v>
      </c>
      <c r="C1147" s="593" t="s">
        <v>547</v>
      </c>
      <c r="D1147" s="578">
        <v>2</v>
      </c>
      <c r="E1147" s="579" t="s">
        <v>8</v>
      </c>
      <c r="F1147" s="569">
        <v>1</v>
      </c>
      <c r="G1147" s="590">
        <v>3.7</v>
      </c>
      <c r="H1147" s="591"/>
      <c r="I1147" s="591">
        <v>0.45</v>
      </c>
      <c r="J1147" s="597">
        <f t="shared" si="87"/>
        <v>3.33</v>
      </c>
      <c r="K1147" s="592"/>
    </row>
    <row r="1148" spans="1:11">
      <c r="A1148" s="568"/>
      <c r="B1148" s="601" t="s">
        <v>1043</v>
      </c>
      <c r="C1148" s="593" t="s">
        <v>491</v>
      </c>
      <c r="D1148" s="578">
        <v>2</v>
      </c>
      <c r="E1148" s="579" t="s">
        <v>8</v>
      </c>
      <c r="F1148" s="569">
        <v>1</v>
      </c>
      <c r="G1148" s="590">
        <v>1.956</v>
      </c>
      <c r="H1148" s="591"/>
      <c r="I1148" s="591">
        <v>0.45</v>
      </c>
      <c r="J1148" s="597">
        <f t="shared" si="87"/>
        <v>1.7604</v>
      </c>
      <c r="K1148" s="592"/>
    </row>
    <row r="1149" spans="1:11">
      <c r="A1149" s="568"/>
      <c r="B1149" s="601" t="s">
        <v>1043</v>
      </c>
      <c r="C1149" s="593" t="s">
        <v>491</v>
      </c>
      <c r="D1149" s="578">
        <v>2</v>
      </c>
      <c r="E1149" s="579" t="s">
        <v>8</v>
      </c>
      <c r="F1149" s="569">
        <v>1</v>
      </c>
      <c r="G1149" s="590">
        <v>6.6</v>
      </c>
      <c r="H1149" s="591"/>
      <c r="I1149" s="591">
        <v>0.6</v>
      </c>
      <c r="J1149" s="597">
        <f t="shared" si="87"/>
        <v>7.919999999999999</v>
      </c>
      <c r="K1149" s="592"/>
    </row>
    <row r="1150" spans="1:11">
      <c r="A1150" s="568"/>
      <c r="B1150" s="601" t="s">
        <v>1037</v>
      </c>
      <c r="C1150" s="593" t="s">
        <v>491</v>
      </c>
      <c r="D1150" s="578">
        <v>2</v>
      </c>
      <c r="E1150" s="579" t="s">
        <v>8</v>
      </c>
      <c r="F1150" s="569">
        <v>1</v>
      </c>
      <c r="G1150" s="590">
        <v>2.5</v>
      </c>
      <c r="H1150" s="591"/>
      <c r="I1150" s="591">
        <v>0.6</v>
      </c>
      <c r="J1150" s="597">
        <f t="shared" si="87"/>
        <v>3</v>
      </c>
      <c r="K1150" s="592"/>
    </row>
    <row r="1151" spans="1:11">
      <c r="A1151" s="568"/>
      <c r="B1151" s="601" t="s">
        <v>1036</v>
      </c>
      <c r="C1151" s="593" t="s">
        <v>550</v>
      </c>
      <c r="D1151" s="578">
        <v>2</v>
      </c>
      <c r="E1151" s="579" t="s">
        <v>8</v>
      </c>
      <c r="F1151" s="569">
        <v>1</v>
      </c>
      <c r="G1151" s="590">
        <v>6.2</v>
      </c>
      <c r="H1151" s="591"/>
      <c r="I1151" s="591">
        <v>0.45</v>
      </c>
      <c r="J1151" s="597">
        <f t="shared" si="87"/>
        <v>5.58</v>
      </c>
      <c r="K1151" s="592"/>
    </row>
    <row r="1152" spans="1:11">
      <c r="A1152" s="568"/>
      <c r="B1152" s="601" t="s">
        <v>1044</v>
      </c>
      <c r="C1152" s="593" t="s">
        <v>490</v>
      </c>
      <c r="D1152" s="578">
        <v>2</v>
      </c>
      <c r="E1152" s="579" t="s">
        <v>8</v>
      </c>
      <c r="F1152" s="569">
        <v>1</v>
      </c>
      <c r="G1152" s="590">
        <v>12.975</v>
      </c>
      <c r="H1152" s="591"/>
      <c r="I1152" s="591">
        <v>0.45</v>
      </c>
      <c r="J1152" s="597">
        <f t="shared" si="87"/>
        <v>11.6775</v>
      </c>
      <c r="K1152" s="592"/>
    </row>
    <row r="1153" spans="1:11">
      <c r="A1153" s="568"/>
      <c r="B1153" s="601" t="s">
        <v>1045</v>
      </c>
      <c r="C1153" s="593" t="s">
        <v>548</v>
      </c>
      <c r="D1153" s="578">
        <v>2</v>
      </c>
      <c r="E1153" s="579" t="s">
        <v>8</v>
      </c>
      <c r="F1153" s="569">
        <v>1</v>
      </c>
      <c r="G1153" s="590">
        <v>1.9</v>
      </c>
      <c r="H1153" s="591"/>
      <c r="I1153" s="591">
        <v>0.6</v>
      </c>
      <c r="J1153" s="597">
        <f t="shared" si="87"/>
        <v>2.2799999999999998</v>
      </c>
      <c r="K1153" s="592"/>
    </row>
    <row r="1154" spans="1:11">
      <c r="A1154" s="568"/>
      <c r="B1154" s="601" t="s">
        <v>1045</v>
      </c>
      <c r="C1154" s="593" t="s">
        <v>548</v>
      </c>
      <c r="D1154" s="578">
        <v>2</v>
      </c>
      <c r="E1154" s="579" t="s">
        <v>8</v>
      </c>
      <c r="F1154" s="569">
        <v>1</v>
      </c>
      <c r="G1154" s="590">
        <v>6.8</v>
      </c>
      <c r="H1154" s="591"/>
      <c r="I1154" s="591">
        <v>0.6</v>
      </c>
      <c r="J1154" s="597">
        <f t="shared" si="87"/>
        <v>8.16</v>
      </c>
      <c r="K1154" s="592"/>
    </row>
    <row r="1155" spans="1:11">
      <c r="A1155" s="568"/>
      <c r="B1155" s="601" t="s">
        <v>1046</v>
      </c>
      <c r="C1155" s="593" t="s">
        <v>489</v>
      </c>
      <c r="D1155" s="578">
        <v>2</v>
      </c>
      <c r="E1155" s="579" t="s">
        <v>8</v>
      </c>
      <c r="F1155" s="569">
        <v>1</v>
      </c>
      <c r="G1155" s="590">
        <v>1.9</v>
      </c>
      <c r="H1155" s="591"/>
      <c r="I1155" s="591">
        <v>0.45</v>
      </c>
      <c r="J1155" s="597">
        <f t="shared" si="87"/>
        <v>1.71</v>
      </c>
      <c r="K1155" s="592"/>
    </row>
    <row r="1156" spans="1:11">
      <c r="A1156" s="568"/>
      <c r="B1156" s="601" t="s">
        <v>1047</v>
      </c>
      <c r="C1156" s="593" t="s">
        <v>489</v>
      </c>
      <c r="D1156" s="578">
        <v>2</v>
      </c>
      <c r="E1156" s="579" t="s">
        <v>8</v>
      </c>
      <c r="F1156" s="569">
        <v>1</v>
      </c>
      <c r="G1156" s="590">
        <v>16.675000000000001</v>
      </c>
      <c r="H1156" s="591"/>
      <c r="I1156" s="591">
        <v>0.45</v>
      </c>
      <c r="J1156" s="597">
        <f t="shared" si="87"/>
        <v>15.0075</v>
      </c>
      <c r="K1156" s="592"/>
    </row>
    <row r="1157" spans="1:11">
      <c r="A1157" s="568"/>
      <c r="B1157" s="601" t="s">
        <v>1048</v>
      </c>
      <c r="C1157" s="593" t="s">
        <v>489</v>
      </c>
      <c r="D1157" s="578">
        <v>2</v>
      </c>
      <c r="E1157" s="579" t="s">
        <v>8</v>
      </c>
      <c r="F1157" s="569">
        <v>1</v>
      </c>
      <c r="G1157" s="590">
        <v>1.9</v>
      </c>
      <c r="H1157" s="591"/>
      <c r="I1157" s="591">
        <v>0.45</v>
      </c>
      <c r="J1157" s="597">
        <f t="shared" si="87"/>
        <v>1.71</v>
      </c>
      <c r="K1157" s="592"/>
    </row>
    <row r="1158" spans="1:11">
      <c r="A1158" s="568"/>
      <c r="B1158" s="601" t="s">
        <v>1049</v>
      </c>
      <c r="C1158" s="577" t="s">
        <v>583</v>
      </c>
      <c r="D1158" s="578">
        <v>2</v>
      </c>
      <c r="E1158" s="579" t="s">
        <v>8</v>
      </c>
      <c r="F1158" s="569">
        <v>1</v>
      </c>
      <c r="G1158" s="590">
        <v>27.8</v>
      </c>
      <c r="H1158" s="591"/>
      <c r="I1158" s="591">
        <v>0.45</v>
      </c>
      <c r="J1158" s="597">
        <f t="shared" si="87"/>
        <v>25.02</v>
      </c>
      <c r="K1158" s="592"/>
    </row>
    <row r="1159" spans="1:11">
      <c r="A1159" s="568"/>
      <c r="B1159" s="601" t="s">
        <v>1049</v>
      </c>
      <c r="C1159" s="577" t="s">
        <v>583</v>
      </c>
      <c r="D1159" s="578">
        <v>2</v>
      </c>
      <c r="E1159" s="579" t="s">
        <v>8</v>
      </c>
      <c r="F1159" s="569">
        <v>1</v>
      </c>
      <c r="G1159" s="590">
        <v>5.375</v>
      </c>
      <c r="H1159" s="591"/>
      <c r="I1159" s="591">
        <v>0.6</v>
      </c>
      <c r="J1159" s="597">
        <f t="shared" si="87"/>
        <v>6.45</v>
      </c>
      <c r="K1159" s="592"/>
    </row>
    <row r="1160" spans="1:11">
      <c r="A1160" s="568"/>
      <c r="B1160" s="584" t="s">
        <v>488</v>
      </c>
      <c r="C1160" s="589"/>
      <c r="G1160" s="590"/>
      <c r="H1160" s="591"/>
      <c r="I1160" s="591"/>
      <c r="J1160" s="597"/>
      <c r="K1160" s="592"/>
    </row>
    <row r="1161" spans="1:11">
      <c r="A1161" s="568"/>
      <c r="B1161" s="601" t="s">
        <v>1050</v>
      </c>
      <c r="C1161" s="593" t="s">
        <v>549</v>
      </c>
      <c r="D1161" s="578">
        <v>2</v>
      </c>
      <c r="E1161" s="579" t="s">
        <v>8</v>
      </c>
      <c r="F1161" s="569">
        <v>1</v>
      </c>
      <c r="G1161" s="590">
        <v>20.2</v>
      </c>
      <c r="H1161" s="591"/>
      <c r="I1161" s="591">
        <v>0.45</v>
      </c>
      <c r="J1161" s="597">
        <f t="shared" si="87"/>
        <v>18.18</v>
      </c>
      <c r="K1161" s="592"/>
    </row>
    <row r="1162" spans="1:11">
      <c r="A1162" s="568"/>
      <c r="B1162" s="601" t="s">
        <v>1051</v>
      </c>
      <c r="C1162" s="593" t="s">
        <v>483</v>
      </c>
      <c r="D1162" s="578">
        <v>2</v>
      </c>
      <c r="E1162" s="579" t="s">
        <v>8</v>
      </c>
      <c r="F1162" s="569">
        <v>1</v>
      </c>
      <c r="G1162" s="590">
        <v>3.7</v>
      </c>
      <c r="H1162" s="591"/>
      <c r="I1162" s="591">
        <v>0.6</v>
      </c>
      <c r="J1162" s="597">
        <f t="shared" si="87"/>
        <v>4.4400000000000004</v>
      </c>
      <c r="K1162" s="592"/>
    </row>
    <row r="1163" spans="1:11">
      <c r="A1163" s="568"/>
      <c r="B1163" s="601" t="s">
        <v>1052</v>
      </c>
      <c r="C1163" s="593" t="s">
        <v>1053</v>
      </c>
      <c r="D1163" s="578">
        <v>2</v>
      </c>
      <c r="E1163" s="579" t="s">
        <v>8</v>
      </c>
      <c r="F1163" s="569">
        <v>1</v>
      </c>
      <c r="G1163" s="590">
        <v>3.3</v>
      </c>
      <c r="H1163" s="591"/>
      <c r="I1163" s="591">
        <v>0.45</v>
      </c>
      <c r="J1163" s="597">
        <f t="shared" si="87"/>
        <v>2.9699999999999998</v>
      </c>
      <c r="K1163" s="592"/>
    </row>
    <row r="1164" spans="1:11">
      <c r="A1164" s="568"/>
      <c r="B1164" s="601" t="s">
        <v>1054</v>
      </c>
      <c r="C1164" s="593" t="s">
        <v>1055</v>
      </c>
      <c r="D1164" s="578">
        <v>2</v>
      </c>
      <c r="E1164" s="579" t="s">
        <v>8</v>
      </c>
      <c r="F1164" s="569">
        <v>1</v>
      </c>
      <c r="G1164" s="590">
        <v>3.5</v>
      </c>
      <c r="H1164" s="591"/>
      <c r="I1164" s="591">
        <v>0.45</v>
      </c>
      <c r="J1164" s="597">
        <f t="shared" si="87"/>
        <v>3.15</v>
      </c>
      <c r="K1164" s="592"/>
    </row>
    <row r="1165" spans="1:11">
      <c r="A1165" s="568"/>
      <c r="B1165" s="601" t="s">
        <v>1056</v>
      </c>
      <c r="C1165" s="593" t="s">
        <v>1057</v>
      </c>
      <c r="D1165" s="578">
        <v>2</v>
      </c>
      <c r="E1165" s="579" t="s">
        <v>8</v>
      </c>
      <c r="F1165" s="569">
        <v>1</v>
      </c>
      <c r="G1165" s="590">
        <v>3.5</v>
      </c>
      <c r="H1165" s="591"/>
      <c r="I1165" s="591">
        <v>0.45</v>
      </c>
      <c r="J1165" s="597">
        <f t="shared" si="87"/>
        <v>3.15</v>
      </c>
      <c r="K1165" s="592"/>
    </row>
    <row r="1166" spans="1:11">
      <c r="A1166" s="568"/>
      <c r="B1166" s="601" t="s">
        <v>1058</v>
      </c>
      <c r="C1166" s="593" t="s">
        <v>1059</v>
      </c>
      <c r="D1166" s="578">
        <v>2</v>
      </c>
      <c r="E1166" s="579" t="s">
        <v>8</v>
      </c>
      <c r="F1166" s="569">
        <v>1</v>
      </c>
      <c r="G1166" s="590">
        <v>8.3000000000000007</v>
      </c>
      <c r="H1166" s="591"/>
      <c r="I1166" s="591">
        <v>0.45</v>
      </c>
      <c r="J1166" s="597">
        <f t="shared" si="87"/>
        <v>7.4700000000000006</v>
      </c>
      <c r="K1166" s="592"/>
    </row>
    <row r="1167" spans="1:11">
      <c r="A1167" s="568"/>
      <c r="B1167" s="601" t="s">
        <v>1052</v>
      </c>
      <c r="C1167" s="593" t="s">
        <v>1060</v>
      </c>
      <c r="D1167" s="578">
        <v>2</v>
      </c>
      <c r="E1167" s="579" t="s">
        <v>8</v>
      </c>
      <c r="F1167" s="569">
        <v>1</v>
      </c>
      <c r="G1167" s="590">
        <v>16.7</v>
      </c>
      <c r="H1167" s="591"/>
      <c r="I1167" s="591">
        <v>0.45</v>
      </c>
      <c r="J1167" s="597">
        <f t="shared" si="87"/>
        <v>15.03</v>
      </c>
      <c r="K1167" s="592"/>
    </row>
    <row r="1168" spans="1:11">
      <c r="A1168" s="568"/>
      <c r="B1168" s="601" t="s">
        <v>1061</v>
      </c>
      <c r="C1168" s="593" t="s">
        <v>485</v>
      </c>
      <c r="D1168" s="578">
        <v>2</v>
      </c>
      <c r="E1168" s="579" t="s">
        <v>8</v>
      </c>
      <c r="F1168" s="569">
        <v>1</v>
      </c>
      <c r="G1168" s="590">
        <v>6.8</v>
      </c>
      <c r="H1168" s="591"/>
      <c r="I1168" s="591">
        <v>0.45</v>
      </c>
      <c r="J1168" s="597">
        <f t="shared" si="87"/>
        <v>6.12</v>
      </c>
      <c r="K1168" s="592"/>
    </row>
    <row r="1169" spans="1:11">
      <c r="A1169" s="568"/>
      <c r="B1169" s="601" t="s">
        <v>1061</v>
      </c>
      <c r="C1169" s="593" t="s">
        <v>485</v>
      </c>
      <c r="D1169" s="578">
        <v>2</v>
      </c>
      <c r="E1169" s="579" t="s">
        <v>8</v>
      </c>
      <c r="F1169" s="569">
        <v>1</v>
      </c>
      <c r="G1169" s="590">
        <v>7.351</v>
      </c>
      <c r="H1169" s="591"/>
      <c r="I1169" s="591">
        <v>0.45</v>
      </c>
      <c r="J1169" s="597">
        <f t="shared" si="87"/>
        <v>6.6158999999999999</v>
      </c>
      <c r="K1169" s="592"/>
    </row>
    <row r="1170" spans="1:11">
      <c r="A1170" s="568"/>
      <c r="B1170" s="601" t="s">
        <v>1061</v>
      </c>
      <c r="C1170" s="593" t="s">
        <v>485</v>
      </c>
      <c r="D1170" s="578">
        <v>2</v>
      </c>
      <c r="E1170" s="579" t="s">
        <v>8</v>
      </c>
      <c r="F1170" s="569">
        <v>1</v>
      </c>
      <c r="G1170" s="590">
        <v>6.5990000000000002</v>
      </c>
      <c r="H1170" s="591"/>
      <c r="I1170" s="591">
        <v>0.45</v>
      </c>
      <c r="J1170" s="597">
        <f t="shared" si="87"/>
        <v>5.9391000000000007</v>
      </c>
      <c r="K1170" s="592"/>
    </row>
    <row r="1171" spans="1:11">
      <c r="A1171" s="568"/>
      <c r="B1171" s="601" t="s">
        <v>1062</v>
      </c>
      <c r="C1171" s="593" t="s">
        <v>487</v>
      </c>
      <c r="D1171" s="578">
        <v>2</v>
      </c>
      <c r="E1171" s="579" t="s">
        <v>8</v>
      </c>
      <c r="F1171" s="569">
        <v>1</v>
      </c>
      <c r="G1171" s="590">
        <v>6.5</v>
      </c>
      <c r="H1171" s="591"/>
      <c r="I1171" s="591">
        <v>0.45</v>
      </c>
      <c r="J1171" s="597">
        <f t="shared" si="87"/>
        <v>5.8500000000000005</v>
      </c>
      <c r="K1171" s="592"/>
    </row>
    <row r="1172" spans="1:11">
      <c r="A1172" s="568"/>
      <c r="B1172" s="601" t="s">
        <v>1063</v>
      </c>
      <c r="C1172" s="593" t="s">
        <v>487</v>
      </c>
      <c r="D1172" s="578">
        <v>2</v>
      </c>
      <c r="E1172" s="579" t="s">
        <v>8</v>
      </c>
      <c r="F1172" s="569">
        <v>1</v>
      </c>
      <c r="G1172" s="590">
        <v>5.4</v>
      </c>
      <c r="H1172" s="591"/>
      <c r="I1172" s="591">
        <v>0.45</v>
      </c>
      <c r="J1172" s="597">
        <f t="shared" si="87"/>
        <v>4.8600000000000003</v>
      </c>
      <c r="K1172" s="592"/>
    </row>
    <row r="1173" spans="1:11">
      <c r="A1173" s="568"/>
      <c r="B1173" s="601" t="s">
        <v>571</v>
      </c>
      <c r="C1173" s="593" t="s">
        <v>1064</v>
      </c>
      <c r="D1173" s="578">
        <v>2</v>
      </c>
      <c r="E1173" s="579" t="s">
        <v>8</v>
      </c>
      <c r="F1173" s="569">
        <v>3</v>
      </c>
      <c r="G1173" s="590">
        <v>1.7</v>
      </c>
      <c r="H1173" s="591"/>
      <c r="I1173" s="591">
        <v>0.45</v>
      </c>
      <c r="J1173" s="597">
        <f t="shared" si="87"/>
        <v>4.59</v>
      </c>
      <c r="K1173" s="592"/>
    </row>
    <row r="1174" spans="1:11">
      <c r="A1174" s="568"/>
      <c r="B1174" s="601" t="s">
        <v>1065</v>
      </c>
      <c r="C1174" s="593" t="s">
        <v>1064</v>
      </c>
      <c r="D1174" s="578">
        <v>2</v>
      </c>
      <c r="E1174" s="579" t="s">
        <v>8</v>
      </c>
      <c r="F1174" s="569">
        <v>1</v>
      </c>
      <c r="G1174" s="590">
        <v>6.8</v>
      </c>
      <c r="H1174" s="591"/>
      <c r="I1174" s="591">
        <v>0.6</v>
      </c>
      <c r="J1174" s="597">
        <f t="shared" si="87"/>
        <v>8.16</v>
      </c>
      <c r="K1174" s="592"/>
    </row>
    <row r="1175" spans="1:11">
      <c r="A1175" s="568"/>
      <c r="B1175" s="601" t="s">
        <v>1066</v>
      </c>
      <c r="C1175" s="593" t="s">
        <v>1067</v>
      </c>
      <c r="D1175" s="578">
        <v>2</v>
      </c>
      <c r="E1175" s="579" t="s">
        <v>8</v>
      </c>
      <c r="F1175" s="569">
        <v>1</v>
      </c>
      <c r="G1175" s="590">
        <v>2.6</v>
      </c>
      <c r="H1175" s="591"/>
      <c r="I1175" s="591">
        <v>0.6</v>
      </c>
      <c r="J1175" s="597">
        <f t="shared" si="87"/>
        <v>3.12</v>
      </c>
      <c r="K1175" s="592"/>
    </row>
    <row r="1176" spans="1:11">
      <c r="A1176" s="568"/>
      <c r="B1176" s="601" t="s">
        <v>1062</v>
      </c>
      <c r="C1176" s="593" t="s">
        <v>1068</v>
      </c>
      <c r="D1176" s="578">
        <v>2</v>
      </c>
      <c r="E1176" s="579" t="s">
        <v>8</v>
      </c>
      <c r="F1176" s="569">
        <v>1</v>
      </c>
      <c r="G1176" s="590">
        <v>4.4000000000000004</v>
      </c>
      <c r="H1176" s="591"/>
      <c r="I1176" s="591">
        <v>0.45</v>
      </c>
      <c r="J1176" s="597">
        <f t="shared" si="87"/>
        <v>3.9600000000000004</v>
      </c>
      <c r="K1176" s="592"/>
    </row>
    <row r="1177" spans="1:11">
      <c r="A1177" s="568"/>
      <c r="B1177" s="601" t="s">
        <v>1069</v>
      </c>
      <c r="C1177" s="593" t="s">
        <v>1070</v>
      </c>
      <c r="D1177" s="578">
        <v>2</v>
      </c>
      <c r="E1177" s="579" t="s">
        <v>8</v>
      </c>
      <c r="F1177" s="569">
        <v>1</v>
      </c>
      <c r="G1177" s="590">
        <v>6.8</v>
      </c>
      <c r="H1177" s="591"/>
      <c r="I1177" s="591">
        <v>0.6</v>
      </c>
      <c r="J1177" s="597">
        <f t="shared" si="87"/>
        <v>8.16</v>
      </c>
      <c r="K1177" s="592"/>
    </row>
    <row r="1178" spans="1:11">
      <c r="A1178" s="568"/>
      <c r="B1178" s="601" t="s">
        <v>1062</v>
      </c>
      <c r="C1178" s="593" t="s">
        <v>1068</v>
      </c>
      <c r="D1178" s="578">
        <v>2</v>
      </c>
      <c r="E1178" s="579" t="s">
        <v>8</v>
      </c>
      <c r="F1178" s="569">
        <v>1</v>
      </c>
      <c r="G1178" s="590">
        <v>4.4000000000000004</v>
      </c>
      <c r="H1178" s="591"/>
      <c r="I1178" s="591">
        <v>0.45</v>
      </c>
      <c r="J1178" s="597">
        <f t="shared" si="87"/>
        <v>3.9600000000000004</v>
      </c>
      <c r="K1178" s="592"/>
    </row>
    <row r="1179" spans="1:11">
      <c r="A1179" s="568"/>
      <c r="B1179" s="601" t="s">
        <v>1066</v>
      </c>
      <c r="C1179" s="593" t="s">
        <v>1071</v>
      </c>
      <c r="D1179" s="578">
        <v>2</v>
      </c>
      <c r="E1179" s="579" t="s">
        <v>8</v>
      </c>
      <c r="F1179" s="569">
        <v>1</v>
      </c>
      <c r="G1179" s="590">
        <v>2.6</v>
      </c>
      <c r="H1179" s="591"/>
      <c r="I1179" s="591">
        <v>0.45</v>
      </c>
      <c r="J1179" s="597">
        <f t="shared" si="87"/>
        <v>2.3400000000000003</v>
      </c>
      <c r="K1179" s="592"/>
    </row>
    <row r="1180" spans="1:11">
      <c r="A1180" s="568"/>
      <c r="B1180" s="601" t="s">
        <v>1065</v>
      </c>
      <c r="C1180" s="593" t="s">
        <v>1072</v>
      </c>
      <c r="D1180" s="578">
        <v>2</v>
      </c>
      <c r="E1180" s="579" t="s">
        <v>8</v>
      </c>
      <c r="F1180" s="569">
        <v>1</v>
      </c>
      <c r="G1180" s="590">
        <v>6.7990000000000004</v>
      </c>
      <c r="H1180" s="591"/>
      <c r="I1180" s="591">
        <v>0.45</v>
      </c>
      <c r="J1180" s="597">
        <f t="shared" si="87"/>
        <v>6.1191000000000004</v>
      </c>
      <c r="K1180" s="592"/>
    </row>
    <row r="1181" spans="1:11">
      <c r="A1181" s="568"/>
      <c r="B1181" s="601" t="s">
        <v>1073</v>
      </c>
      <c r="C1181" s="593" t="s">
        <v>1074</v>
      </c>
      <c r="D1181" s="578">
        <v>2</v>
      </c>
      <c r="E1181" s="579" t="s">
        <v>8</v>
      </c>
      <c r="F1181" s="569">
        <v>1</v>
      </c>
      <c r="G1181" s="590">
        <v>11.8</v>
      </c>
      <c r="H1181" s="591"/>
      <c r="I1181" s="591">
        <v>0.45</v>
      </c>
      <c r="J1181" s="597">
        <f t="shared" si="87"/>
        <v>10.620000000000001</v>
      </c>
      <c r="K1181" s="592"/>
    </row>
    <row r="1182" spans="1:11">
      <c r="A1182" s="568"/>
      <c r="B1182" s="601" t="s">
        <v>1075</v>
      </c>
      <c r="C1182" s="593" t="s">
        <v>1076</v>
      </c>
      <c r="D1182" s="578">
        <v>2</v>
      </c>
      <c r="E1182" s="579" t="s">
        <v>8</v>
      </c>
      <c r="F1182" s="569">
        <v>1</v>
      </c>
      <c r="G1182" s="590">
        <v>6.7990000000000004</v>
      </c>
      <c r="H1182" s="591"/>
      <c r="I1182" s="591">
        <v>0.45</v>
      </c>
      <c r="J1182" s="597">
        <f t="shared" si="87"/>
        <v>6.1191000000000004</v>
      </c>
      <c r="K1182" s="592"/>
    </row>
    <row r="1183" spans="1:11">
      <c r="A1183" s="568"/>
      <c r="B1183" s="601" t="s">
        <v>1077</v>
      </c>
      <c r="C1183" s="593" t="s">
        <v>1078</v>
      </c>
      <c r="D1183" s="578">
        <v>2</v>
      </c>
      <c r="E1183" s="579" t="s">
        <v>8</v>
      </c>
      <c r="F1183" s="569">
        <v>1</v>
      </c>
      <c r="G1183" s="590">
        <v>11.9</v>
      </c>
      <c r="H1183" s="591"/>
      <c r="I1183" s="591">
        <v>0.45</v>
      </c>
      <c r="J1183" s="597">
        <f t="shared" si="87"/>
        <v>10.71</v>
      </c>
      <c r="K1183" s="592"/>
    </row>
    <row r="1184" spans="1:11">
      <c r="A1184" s="568"/>
      <c r="B1184" s="601" t="s">
        <v>1079</v>
      </c>
      <c r="C1184" s="593" t="s">
        <v>1078</v>
      </c>
      <c r="D1184" s="578">
        <v>2</v>
      </c>
      <c r="E1184" s="579" t="s">
        <v>8</v>
      </c>
      <c r="F1184" s="569">
        <v>1</v>
      </c>
      <c r="G1184" s="590">
        <v>12.201000000000001</v>
      </c>
      <c r="H1184" s="591"/>
      <c r="I1184" s="591">
        <v>0.45</v>
      </c>
      <c r="J1184" s="597">
        <f t="shared" si="87"/>
        <v>10.9809</v>
      </c>
      <c r="K1184" s="592"/>
    </row>
    <row r="1185" spans="1:11">
      <c r="A1185" s="568"/>
      <c r="B1185" s="601" t="s">
        <v>1080</v>
      </c>
      <c r="C1185" s="593" t="s">
        <v>1081</v>
      </c>
      <c r="D1185" s="578">
        <v>2</v>
      </c>
      <c r="E1185" s="579" t="s">
        <v>8</v>
      </c>
      <c r="F1185" s="569">
        <v>1</v>
      </c>
      <c r="G1185" s="590">
        <v>8.2010000000000005</v>
      </c>
      <c r="H1185" s="591"/>
      <c r="I1185" s="591">
        <v>0.6</v>
      </c>
      <c r="J1185" s="597">
        <f t="shared" si="87"/>
        <v>9.8412000000000006</v>
      </c>
      <c r="K1185" s="592"/>
    </row>
    <row r="1186" spans="1:11">
      <c r="A1186" s="568"/>
      <c r="B1186" s="601" t="s">
        <v>1082</v>
      </c>
      <c r="C1186" s="593" t="s">
        <v>1083</v>
      </c>
      <c r="D1186" s="578">
        <v>2</v>
      </c>
      <c r="E1186" s="579" t="s">
        <v>8</v>
      </c>
      <c r="F1186" s="569">
        <v>1</v>
      </c>
      <c r="G1186" s="590">
        <v>11.01</v>
      </c>
      <c r="H1186" s="591"/>
      <c r="I1186" s="591">
        <v>0.45</v>
      </c>
      <c r="J1186" s="597">
        <f t="shared" si="87"/>
        <v>9.9090000000000007</v>
      </c>
      <c r="K1186" s="592"/>
    </row>
    <row r="1187" spans="1:11">
      <c r="A1187" s="568"/>
      <c r="B1187" s="601" t="s">
        <v>1084</v>
      </c>
      <c r="C1187" s="593" t="s">
        <v>1085</v>
      </c>
      <c r="D1187" s="578">
        <v>2</v>
      </c>
      <c r="E1187" s="579" t="s">
        <v>8</v>
      </c>
      <c r="F1187" s="569">
        <v>1</v>
      </c>
      <c r="G1187" s="590">
        <v>4.2</v>
      </c>
      <c r="H1187" s="591"/>
      <c r="I1187" s="591">
        <v>0.45</v>
      </c>
      <c r="J1187" s="597">
        <f t="shared" si="87"/>
        <v>3.7800000000000002</v>
      </c>
      <c r="K1187" s="592"/>
    </row>
    <row r="1188" spans="1:11">
      <c r="A1188" s="568"/>
      <c r="B1188" s="601" t="s">
        <v>1086</v>
      </c>
      <c r="C1188" s="593" t="s">
        <v>1085</v>
      </c>
      <c r="D1188" s="578">
        <v>2</v>
      </c>
      <c r="E1188" s="579" t="s">
        <v>8</v>
      </c>
      <c r="F1188" s="569">
        <v>1</v>
      </c>
      <c r="G1188" s="590">
        <v>1.1000000000000001</v>
      </c>
      <c r="H1188" s="591"/>
      <c r="I1188" s="591">
        <v>0.45</v>
      </c>
      <c r="J1188" s="597">
        <f t="shared" si="87"/>
        <v>0.9900000000000001</v>
      </c>
      <c r="K1188" s="592"/>
    </row>
    <row r="1189" spans="1:11">
      <c r="A1189" s="568"/>
      <c r="B1189" s="601" t="s">
        <v>1087</v>
      </c>
      <c r="C1189" s="593" t="s">
        <v>1088</v>
      </c>
      <c r="D1189" s="578">
        <v>2</v>
      </c>
      <c r="E1189" s="579" t="s">
        <v>8</v>
      </c>
      <c r="F1189" s="569">
        <v>1</v>
      </c>
      <c r="G1189" s="590">
        <v>3</v>
      </c>
      <c r="H1189" s="591"/>
      <c r="I1189" s="591">
        <v>0.45</v>
      </c>
      <c r="J1189" s="597">
        <f t="shared" si="87"/>
        <v>2.7</v>
      </c>
      <c r="K1189" s="592"/>
    </row>
    <row r="1190" spans="1:11">
      <c r="A1190" s="568"/>
      <c r="B1190" s="601" t="s">
        <v>1089</v>
      </c>
      <c r="C1190" s="593" t="s">
        <v>1090</v>
      </c>
      <c r="D1190" s="578">
        <v>2</v>
      </c>
      <c r="E1190" s="579" t="s">
        <v>8</v>
      </c>
      <c r="F1190" s="569">
        <v>1</v>
      </c>
      <c r="G1190" s="590">
        <v>12.201000000000001</v>
      </c>
      <c r="H1190" s="591"/>
      <c r="I1190" s="591">
        <v>0.45</v>
      </c>
      <c r="J1190" s="597">
        <f t="shared" si="87"/>
        <v>10.9809</v>
      </c>
      <c r="K1190" s="592"/>
    </row>
    <row r="1191" spans="1:11">
      <c r="A1191" s="568"/>
      <c r="B1191" s="601" t="s">
        <v>1091</v>
      </c>
      <c r="C1191" s="593" t="s">
        <v>1090</v>
      </c>
      <c r="D1191" s="578">
        <v>2</v>
      </c>
      <c r="E1191" s="579" t="s">
        <v>8</v>
      </c>
      <c r="F1191" s="569">
        <v>1</v>
      </c>
      <c r="G1191" s="590">
        <v>8.2010000000000005</v>
      </c>
      <c r="H1191" s="591"/>
      <c r="I1191" s="591">
        <v>0.6</v>
      </c>
      <c r="J1191" s="597">
        <f t="shared" si="87"/>
        <v>9.8412000000000006</v>
      </c>
      <c r="K1191" s="592"/>
    </row>
    <row r="1192" spans="1:11" ht="18" customHeight="1">
      <c r="A1192" s="568"/>
      <c r="B1192" s="593" t="s">
        <v>1421</v>
      </c>
      <c r="C1192" s="599"/>
      <c r="D1192" s="578">
        <v>2</v>
      </c>
      <c r="E1192" s="579" t="s">
        <v>8</v>
      </c>
      <c r="F1192" s="569">
        <v>1</v>
      </c>
      <c r="G1192" s="600">
        <v>6.5</v>
      </c>
      <c r="H1192" s="600"/>
      <c r="I1192" s="600">
        <v>0.45</v>
      </c>
      <c r="J1192" s="597">
        <f t="shared" ref="J1192:J1194" si="88">PRODUCT(D1192:I1192)</f>
        <v>5.8500000000000005</v>
      </c>
      <c r="K1192" s="568"/>
    </row>
    <row r="1193" spans="1:11" ht="18" customHeight="1">
      <c r="A1193" s="568"/>
      <c r="B1193" s="593"/>
      <c r="C1193" s="599"/>
      <c r="D1193" s="578">
        <v>2</v>
      </c>
      <c r="E1193" s="579" t="s">
        <v>8</v>
      </c>
      <c r="F1193" s="569">
        <v>1</v>
      </c>
      <c r="G1193" s="600">
        <v>1.8</v>
      </c>
      <c r="H1193" s="600"/>
      <c r="I1193" s="600">
        <v>0.45</v>
      </c>
      <c r="J1193" s="597">
        <f t="shared" si="88"/>
        <v>1.62</v>
      </c>
      <c r="K1193" s="568"/>
    </row>
    <row r="1194" spans="1:11" ht="18" customHeight="1">
      <c r="A1194" s="568"/>
      <c r="B1194" s="593"/>
      <c r="C1194" s="599"/>
      <c r="D1194" s="578">
        <v>2</v>
      </c>
      <c r="E1194" s="579" t="s">
        <v>8</v>
      </c>
      <c r="F1194" s="569">
        <v>1</v>
      </c>
      <c r="G1194" s="600">
        <v>5</v>
      </c>
      <c r="H1194" s="600"/>
      <c r="I1194" s="600">
        <v>0.45</v>
      </c>
      <c r="J1194" s="597">
        <f t="shared" si="88"/>
        <v>4.5</v>
      </c>
      <c r="K1194" s="568"/>
    </row>
    <row r="1195" spans="1:11">
      <c r="A1195" s="568"/>
      <c r="B1195" s="593"/>
      <c r="C1195" s="589"/>
      <c r="G1195" s="612"/>
      <c r="H1195" s="598"/>
      <c r="I1195" s="598"/>
      <c r="J1195" s="605">
        <f>SUM(J1069:J1194)</f>
        <v>909.5023790000007</v>
      </c>
      <c r="K1195" s="592"/>
    </row>
    <row r="1196" spans="1:11">
      <c r="A1196" s="568"/>
      <c r="B1196" s="572" t="s">
        <v>58</v>
      </c>
      <c r="C1196" s="589"/>
      <c r="G1196" s="590"/>
      <c r="H1196" s="591"/>
      <c r="I1196" s="591"/>
      <c r="J1196" s="605">
        <f>ROUNDUP(J1195,0)</f>
        <v>910</v>
      </c>
      <c r="K1196" s="592" t="s">
        <v>9</v>
      </c>
    </row>
    <row r="1197" spans="1:11">
      <c r="A1197" s="568"/>
      <c r="B1197" s="593"/>
      <c r="C1197" s="589"/>
      <c r="G1197" s="590"/>
      <c r="H1197" s="591"/>
      <c r="I1197" s="591"/>
      <c r="J1197" s="605"/>
      <c r="K1197" s="592"/>
    </row>
    <row r="1198" spans="1:11" ht="39" customHeight="1">
      <c r="A1198" s="568" t="s">
        <v>70</v>
      </c>
      <c r="B1198" s="733" t="str">
        <f>'BOQ-C&amp;I'!C54</f>
        <v>Plane surfaces such as RCC floor slab, roof slab, flat slab, drop panel, beams, lintels, bed blocks, landing slab, waist slab, portico slab / beams and such other members</v>
      </c>
      <c r="C1198" s="733"/>
      <c r="D1198" s="733"/>
      <c r="E1198" s="733"/>
      <c r="F1198" s="733"/>
      <c r="G1198" s="733"/>
      <c r="H1198" s="733"/>
      <c r="I1198" s="733"/>
      <c r="J1198" s="733"/>
      <c r="K1198" s="733"/>
    </row>
    <row r="1199" spans="1:11">
      <c r="A1199" s="568"/>
      <c r="B1199" s="631" t="s">
        <v>12</v>
      </c>
      <c r="C1199" s="632"/>
      <c r="D1199" s="632"/>
      <c r="E1199" s="633"/>
      <c r="F1199" s="634"/>
      <c r="G1199" s="634"/>
      <c r="H1199" s="635"/>
      <c r="I1199" s="635"/>
      <c r="J1199" s="635"/>
      <c r="K1199" s="635"/>
    </row>
    <row r="1200" spans="1:11">
      <c r="A1200" s="568"/>
      <c r="B1200" s="584" t="s">
        <v>498</v>
      </c>
      <c r="C1200" s="589"/>
      <c r="G1200" s="590"/>
      <c r="H1200" s="591"/>
      <c r="I1200" s="591"/>
      <c r="J1200" s="591"/>
      <c r="K1200" s="592"/>
    </row>
    <row r="1201" spans="1:11">
      <c r="A1201" s="568"/>
      <c r="B1201" s="593" t="s">
        <v>616</v>
      </c>
      <c r="C1201" s="589"/>
      <c r="G1201" s="616"/>
      <c r="H1201" s="617"/>
      <c r="I1201" s="617"/>
      <c r="J1201" s="617"/>
      <c r="K1201" s="592"/>
    </row>
    <row r="1202" spans="1:11">
      <c r="A1202" s="568"/>
      <c r="B1202" s="593" t="s">
        <v>1022</v>
      </c>
      <c r="C1202" s="589" t="s">
        <v>1130</v>
      </c>
      <c r="D1202" s="578">
        <v>1</v>
      </c>
      <c r="E1202" s="579" t="s">
        <v>8</v>
      </c>
      <c r="F1202" s="569">
        <v>1</v>
      </c>
      <c r="G1202" s="590">
        <v>27.9</v>
      </c>
      <c r="H1202" s="591">
        <v>0.3</v>
      </c>
      <c r="I1202" s="591"/>
      <c r="J1202" s="591">
        <f t="shared" ref="J1202:J1265" si="89">PRODUCT(D1202:I1202)</f>
        <v>8.3699999999999992</v>
      </c>
      <c r="K1202" s="592"/>
    </row>
    <row r="1203" spans="1:11">
      <c r="A1203" s="568"/>
      <c r="B1203" s="593"/>
      <c r="C1203" s="589"/>
      <c r="D1203" s="578">
        <v>2</v>
      </c>
      <c r="E1203" s="579" t="s">
        <v>8</v>
      </c>
      <c r="F1203" s="569">
        <v>1</v>
      </c>
      <c r="G1203" s="590">
        <v>27.9</v>
      </c>
      <c r="H1203" s="591"/>
      <c r="I1203" s="591">
        <v>0.75</v>
      </c>
      <c r="J1203" s="591">
        <f t="shared" si="89"/>
        <v>41.849999999999994</v>
      </c>
      <c r="K1203" s="592"/>
    </row>
    <row r="1204" spans="1:11">
      <c r="A1204" s="568"/>
      <c r="B1204" s="593" t="s">
        <v>1022</v>
      </c>
      <c r="C1204" s="589"/>
      <c r="D1204" s="578">
        <v>1</v>
      </c>
      <c r="E1204" s="579" t="s">
        <v>8</v>
      </c>
      <c r="F1204" s="569">
        <v>1</v>
      </c>
      <c r="G1204" s="590">
        <v>5.2750000000000004</v>
      </c>
      <c r="H1204" s="591">
        <v>0.2</v>
      </c>
      <c r="I1204" s="591"/>
      <c r="J1204" s="591">
        <f t="shared" si="89"/>
        <v>1.0550000000000002</v>
      </c>
      <c r="K1204" s="592"/>
    </row>
    <row r="1205" spans="1:11">
      <c r="A1205" s="568"/>
      <c r="B1205" s="593"/>
      <c r="C1205" s="589"/>
      <c r="D1205" s="578">
        <v>2</v>
      </c>
      <c r="E1205" s="579" t="s">
        <v>8</v>
      </c>
      <c r="F1205" s="569">
        <v>1</v>
      </c>
      <c r="G1205" s="590">
        <v>5.2750000000000004</v>
      </c>
      <c r="H1205" s="591"/>
      <c r="I1205" s="591">
        <v>0.6</v>
      </c>
      <c r="J1205" s="591">
        <f t="shared" si="89"/>
        <v>6.33</v>
      </c>
      <c r="K1205" s="592"/>
    </row>
    <row r="1206" spans="1:11">
      <c r="A1206" s="568"/>
      <c r="B1206" s="593" t="s">
        <v>1131</v>
      </c>
      <c r="C1206" s="589" t="s">
        <v>1132</v>
      </c>
      <c r="D1206" s="578">
        <v>1</v>
      </c>
      <c r="E1206" s="579" t="s">
        <v>8</v>
      </c>
      <c r="F1206" s="569">
        <v>1</v>
      </c>
      <c r="G1206" s="590">
        <v>1.8</v>
      </c>
      <c r="H1206" s="591">
        <v>0.2</v>
      </c>
      <c r="I1206" s="591"/>
      <c r="J1206" s="591">
        <f t="shared" si="89"/>
        <v>0.36000000000000004</v>
      </c>
      <c r="K1206" s="592"/>
    </row>
    <row r="1207" spans="1:11">
      <c r="A1207" s="568"/>
      <c r="B1207" s="593"/>
      <c r="C1207" s="589"/>
      <c r="D1207" s="578">
        <v>2</v>
      </c>
      <c r="E1207" s="579" t="s">
        <v>8</v>
      </c>
      <c r="F1207" s="569">
        <v>1</v>
      </c>
      <c r="G1207" s="590">
        <v>1.8</v>
      </c>
      <c r="H1207" s="591"/>
      <c r="I1207" s="591">
        <v>0.45</v>
      </c>
      <c r="J1207" s="591">
        <f t="shared" si="89"/>
        <v>1.62</v>
      </c>
      <c r="K1207" s="592"/>
    </row>
    <row r="1208" spans="1:11">
      <c r="A1208" s="568"/>
      <c r="B1208" s="593" t="s">
        <v>1131</v>
      </c>
      <c r="C1208" s="589" t="s">
        <v>1133</v>
      </c>
      <c r="D1208" s="578">
        <v>1</v>
      </c>
      <c r="E1208" s="579" t="s">
        <v>8</v>
      </c>
      <c r="F1208" s="569">
        <v>1</v>
      </c>
      <c r="G1208" s="590">
        <v>3.875</v>
      </c>
      <c r="H1208" s="591">
        <v>0.2</v>
      </c>
      <c r="I1208" s="591"/>
      <c r="J1208" s="591">
        <f t="shared" si="89"/>
        <v>0.77500000000000002</v>
      </c>
      <c r="K1208" s="592"/>
    </row>
    <row r="1209" spans="1:11">
      <c r="A1209" s="568"/>
      <c r="B1209" s="593"/>
      <c r="C1209" s="589"/>
      <c r="D1209" s="578">
        <v>2</v>
      </c>
      <c r="E1209" s="579" t="s">
        <v>8</v>
      </c>
      <c r="F1209" s="569">
        <v>1</v>
      </c>
      <c r="G1209" s="590">
        <v>3.875</v>
      </c>
      <c r="H1209" s="591"/>
      <c r="I1209" s="591">
        <v>0.45</v>
      </c>
      <c r="J1209" s="591">
        <f t="shared" si="89"/>
        <v>3.4875000000000003</v>
      </c>
      <c r="K1209" s="592"/>
    </row>
    <row r="1210" spans="1:11">
      <c r="A1210" s="568"/>
      <c r="B1210" s="593" t="s">
        <v>1134</v>
      </c>
      <c r="C1210" s="589" t="s">
        <v>1135</v>
      </c>
      <c r="D1210" s="578">
        <v>1</v>
      </c>
      <c r="E1210" s="579" t="s">
        <v>8</v>
      </c>
      <c r="F1210" s="569">
        <v>1</v>
      </c>
      <c r="G1210" s="590">
        <v>4.2300000000000004</v>
      </c>
      <c r="H1210" s="591">
        <v>0.3</v>
      </c>
      <c r="I1210" s="591"/>
      <c r="J1210" s="591">
        <f t="shared" si="89"/>
        <v>1.2690000000000001</v>
      </c>
      <c r="K1210" s="592"/>
    </row>
    <row r="1211" spans="1:11">
      <c r="A1211" s="568"/>
      <c r="B1211" s="593"/>
      <c r="C1211" s="589"/>
      <c r="D1211" s="578">
        <v>2</v>
      </c>
      <c r="E1211" s="579" t="s">
        <v>8</v>
      </c>
      <c r="F1211" s="569">
        <v>1</v>
      </c>
      <c r="G1211" s="590">
        <v>4.2300000000000004</v>
      </c>
      <c r="H1211" s="591"/>
      <c r="I1211" s="591">
        <v>0.75</v>
      </c>
      <c r="J1211" s="591">
        <f t="shared" si="89"/>
        <v>6.3450000000000006</v>
      </c>
      <c r="K1211" s="592"/>
    </row>
    <row r="1212" spans="1:11">
      <c r="A1212" s="568"/>
      <c r="B1212" s="593" t="s">
        <v>1023</v>
      </c>
      <c r="C1212" s="589" t="s">
        <v>1136</v>
      </c>
      <c r="D1212" s="578">
        <v>1</v>
      </c>
      <c r="E1212" s="579" t="s">
        <v>8</v>
      </c>
      <c r="F1212" s="569">
        <v>1</v>
      </c>
      <c r="G1212" s="590">
        <v>7.95</v>
      </c>
      <c r="H1212" s="591">
        <v>0.3</v>
      </c>
      <c r="I1212" s="591"/>
      <c r="J1212" s="591">
        <f t="shared" si="89"/>
        <v>2.3849999999999998</v>
      </c>
      <c r="K1212" s="592"/>
    </row>
    <row r="1213" spans="1:11">
      <c r="A1213" s="568"/>
      <c r="B1213" s="593"/>
      <c r="C1213" s="589"/>
      <c r="D1213" s="578">
        <v>2</v>
      </c>
      <c r="E1213" s="579" t="s">
        <v>8</v>
      </c>
      <c r="F1213" s="569">
        <v>1</v>
      </c>
      <c r="G1213" s="590">
        <v>7.95</v>
      </c>
      <c r="H1213" s="591"/>
      <c r="I1213" s="591">
        <v>0.75</v>
      </c>
      <c r="J1213" s="591">
        <f t="shared" si="89"/>
        <v>11.925000000000001</v>
      </c>
      <c r="K1213" s="592"/>
    </row>
    <row r="1214" spans="1:11">
      <c r="A1214" s="568"/>
      <c r="B1214" s="593" t="s">
        <v>1028</v>
      </c>
      <c r="C1214" s="589" t="s">
        <v>1137</v>
      </c>
      <c r="D1214" s="578">
        <v>1</v>
      </c>
      <c r="E1214" s="579" t="s">
        <v>8</v>
      </c>
      <c r="F1214" s="569">
        <v>3</v>
      </c>
      <c r="G1214" s="590">
        <v>5.0750000000000002</v>
      </c>
      <c r="H1214" s="591">
        <v>0.2</v>
      </c>
      <c r="I1214" s="591"/>
      <c r="J1214" s="591">
        <f t="shared" si="89"/>
        <v>3.0450000000000004</v>
      </c>
      <c r="K1214" s="592"/>
    </row>
    <row r="1215" spans="1:11">
      <c r="A1215" s="568"/>
      <c r="B1215" s="593"/>
      <c r="C1215" s="589"/>
      <c r="D1215" s="578">
        <v>2</v>
      </c>
      <c r="E1215" s="579" t="s">
        <v>8</v>
      </c>
      <c r="F1215" s="569">
        <v>3</v>
      </c>
      <c r="G1215" s="590">
        <v>5.0750000000000002</v>
      </c>
      <c r="H1215" s="591"/>
      <c r="I1215" s="591">
        <v>0.6</v>
      </c>
      <c r="J1215" s="591">
        <f t="shared" si="89"/>
        <v>18.27</v>
      </c>
      <c r="K1215" s="592"/>
    </row>
    <row r="1216" spans="1:11">
      <c r="A1216" s="568"/>
      <c r="B1216" s="593"/>
      <c r="C1216" s="589" t="s">
        <v>1138</v>
      </c>
      <c r="D1216" s="578">
        <v>1</v>
      </c>
      <c r="E1216" s="579" t="s">
        <v>8</v>
      </c>
      <c r="F1216" s="569">
        <v>6</v>
      </c>
      <c r="G1216" s="590">
        <v>1.1000000000000001</v>
      </c>
      <c r="H1216" s="591">
        <v>0.2</v>
      </c>
      <c r="I1216" s="591"/>
      <c r="J1216" s="591">
        <f t="shared" si="89"/>
        <v>1.3200000000000003</v>
      </c>
      <c r="K1216" s="592"/>
    </row>
    <row r="1217" spans="1:11">
      <c r="A1217" s="568"/>
      <c r="B1217" s="593"/>
      <c r="C1217" s="589"/>
      <c r="D1217" s="578">
        <v>2</v>
      </c>
      <c r="E1217" s="579" t="s">
        <v>8</v>
      </c>
      <c r="F1217" s="569">
        <v>6</v>
      </c>
      <c r="G1217" s="590">
        <v>1.1000000000000001</v>
      </c>
      <c r="H1217" s="591"/>
      <c r="I1217" s="591">
        <v>0.45</v>
      </c>
      <c r="J1217" s="591">
        <f t="shared" si="89"/>
        <v>5.94</v>
      </c>
      <c r="K1217" s="592"/>
    </row>
    <row r="1218" spans="1:11">
      <c r="A1218" s="568"/>
      <c r="B1218" s="593"/>
      <c r="C1218" s="589" t="s">
        <v>1139</v>
      </c>
      <c r="D1218" s="578">
        <v>1</v>
      </c>
      <c r="E1218" s="579" t="s">
        <v>8</v>
      </c>
      <c r="F1218" s="569">
        <v>7</v>
      </c>
      <c r="G1218" s="590">
        <v>2.2999999999999998</v>
      </c>
      <c r="H1218" s="591">
        <v>0.2</v>
      </c>
      <c r="I1218" s="591"/>
      <c r="J1218" s="591">
        <f t="shared" si="89"/>
        <v>3.2199999999999998</v>
      </c>
      <c r="K1218" s="592"/>
    </row>
    <row r="1219" spans="1:11">
      <c r="A1219" s="568"/>
      <c r="B1219" s="593"/>
      <c r="C1219" s="589"/>
      <c r="D1219" s="578">
        <v>2</v>
      </c>
      <c r="E1219" s="579" t="s">
        <v>8</v>
      </c>
      <c r="F1219" s="569">
        <v>7</v>
      </c>
      <c r="G1219" s="590">
        <v>2.2999999999999998</v>
      </c>
      <c r="H1219" s="591"/>
      <c r="I1219" s="591">
        <v>0.45</v>
      </c>
      <c r="J1219" s="591">
        <f t="shared" si="89"/>
        <v>14.489999999999998</v>
      </c>
      <c r="K1219" s="592"/>
    </row>
    <row r="1220" spans="1:11">
      <c r="A1220" s="568"/>
      <c r="B1220" s="593"/>
      <c r="C1220" s="589" t="s">
        <v>1140</v>
      </c>
      <c r="D1220" s="578">
        <v>1</v>
      </c>
      <c r="E1220" s="579" t="s">
        <v>8</v>
      </c>
      <c r="F1220" s="569">
        <v>1</v>
      </c>
      <c r="G1220" s="590">
        <v>5.3</v>
      </c>
      <c r="H1220" s="591">
        <v>0.2</v>
      </c>
      <c r="I1220" s="591"/>
      <c r="J1220" s="591">
        <f t="shared" si="89"/>
        <v>1.06</v>
      </c>
      <c r="K1220" s="592"/>
    </row>
    <row r="1221" spans="1:11">
      <c r="A1221" s="568"/>
      <c r="B1221" s="593"/>
      <c r="C1221" s="589"/>
      <c r="D1221" s="578">
        <v>2</v>
      </c>
      <c r="E1221" s="579" t="s">
        <v>8</v>
      </c>
      <c r="F1221" s="569">
        <v>1</v>
      </c>
      <c r="G1221" s="590">
        <v>5.3</v>
      </c>
      <c r="H1221" s="591"/>
      <c r="I1221" s="591">
        <v>0.75</v>
      </c>
      <c r="J1221" s="591">
        <f t="shared" si="89"/>
        <v>7.9499999999999993</v>
      </c>
      <c r="K1221" s="592"/>
    </row>
    <row r="1222" spans="1:11">
      <c r="A1222" s="568"/>
      <c r="B1222" s="593"/>
      <c r="C1222" s="589" t="s">
        <v>1141</v>
      </c>
      <c r="D1222" s="578">
        <v>1</v>
      </c>
      <c r="E1222" s="579" t="s">
        <v>8</v>
      </c>
      <c r="F1222" s="569">
        <v>1</v>
      </c>
      <c r="G1222" s="590">
        <v>6.2</v>
      </c>
      <c r="H1222" s="591">
        <v>0.2</v>
      </c>
      <c r="I1222" s="591"/>
      <c r="J1222" s="591">
        <f t="shared" si="89"/>
        <v>1.2400000000000002</v>
      </c>
      <c r="K1222" s="592"/>
    </row>
    <row r="1223" spans="1:11">
      <c r="A1223" s="568"/>
      <c r="B1223" s="593"/>
      <c r="C1223" s="589"/>
      <c r="D1223" s="578">
        <v>2</v>
      </c>
      <c r="E1223" s="579" t="s">
        <v>8</v>
      </c>
      <c r="F1223" s="569">
        <v>1</v>
      </c>
      <c r="G1223" s="590">
        <v>6.2</v>
      </c>
      <c r="H1223" s="591"/>
      <c r="I1223" s="591">
        <v>0.75</v>
      </c>
      <c r="J1223" s="591">
        <f t="shared" si="89"/>
        <v>9.3000000000000007</v>
      </c>
      <c r="K1223" s="592"/>
    </row>
    <row r="1224" spans="1:11">
      <c r="A1224" s="568"/>
      <c r="B1224" s="593"/>
      <c r="C1224" s="589" t="s">
        <v>1142</v>
      </c>
      <c r="D1224" s="578">
        <v>1</v>
      </c>
      <c r="E1224" s="579" t="s">
        <v>8</v>
      </c>
      <c r="F1224" s="569">
        <v>1</v>
      </c>
      <c r="G1224" s="590">
        <v>3.2</v>
      </c>
      <c r="H1224" s="591">
        <v>0.2</v>
      </c>
      <c r="I1224" s="591"/>
      <c r="J1224" s="591">
        <f t="shared" si="89"/>
        <v>0.64000000000000012</v>
      </c>
      <c r="K1224" s="592"/>
    </row>
    <row r="1225" spans="1:11">
      <c r="A1225" s="568"/>
      <c r="B1225" s="593"/>
      <c r="C1225" s="589"/>
      <c r="D1225" s="578">
        <v>2</v>
      </c>
      <c r="E1225" s="579" t="s">
        <v>8</v>
      </c>
      <c r="F1225" s="569">
        <v>1</v>
      </c>
      <c r="G1225" s="590">
        <v>3.2</v>
      </c>
      <c r="H1225" s="591"/>
      <c r="I1225" s="591">
        <v>0.6</v>
      </c>
      <c r="J1225" s="591">
        <f t="shared" si="89"/>
        <v>3.84</v>
      </c>
      <c r="K1225" s="592"/>
    </row>
    <row r="1226" spans="1:11">
      <c r="A1226" s="568"/>
      <c r="B1226" s="593"/>
      <c r="C1226" s="589" t="s">
        <v>1142</v>
      </c>
      <c r="D1226" s="578">
        <v>1</v>
      </c>
      <c r="E1226" s="579" t="s">
        <v>8</v>
      </c>
      <c r="F1226" s="569">
        <v>1</v>
      </c>
      <c r="G1226" s="590">
        <v>3.2</v>
      </c>
      <c r="H1226" s="591">
        <v>0.2</v>
      </c>
      <c r="I1226" s="591"/>
      <c r="J1226" s="591">
        <f t="shared" si="89"/>
        <v>0.64000000000000012</v>
      </c>
      <c r="K1226" s="592"/>
    </row>
    <row r="1227" spans="1:11">
      <c r="A1227" s="568"/>
      <c r="B1227" s="593"/>
      <c r="C1227" s="589"/>
      <c r="D1227" s="578">
        <v>2</v>
      </c>
      <c r="E1227" s="579" t="s">
        <v>8</v>
      </c>
      <c r="F1227" s="569">
        <v>1</v>
      </c>
      <c r="G1227" s="590">
        <v>3.2</v>
      </c>
      <c r="H1227" s="591"/>
      <c r="I1227" s="591">
        <v>0.6</v>
      </c>
      <c r="J1227" s="591">
        <f t="shared" si="89"/>
        <v>3.84</v>
      </c>
      <c r="K1227" s="592"/>
    </row>
    <row r="1228" spans="1:11">
      <c r="A1228" s="568"/>
      <c r="B1228" s="593" t="s">
        <v>1030</v>
      </c>
      <c r="C1228" s="589" t="s">
        <v>1143</v>
      </c>
      <c r="D1228" s="578">
        <v>1</v>
      </c>
      <c r="E1228" s="579" t="s">
        <v>8</v>
      </c>
      <c r="F1228" s="569">
        <v>1</v>
      </c>
      <c r="G1228" s="590">
        <v>20.408999999999999</v>
      </c>
      <c r="H1228" s="591">
        <v>0.2</v>
      </c>
      <c r="I1228" s="591"/>
      <c r="J1228" s="591">
        <f t="shared" si="89"/>
        <v>4.0818000000000003</v>
      </c>
      <c r="K1228" s="592"/>
    </row>
    <row r="1229" spans="1:11">
      <c r="A1229" s="568"/>
      <c r="B1229" s="593"/>
      <c r="C1229" s="589"/>
      <c r="D1229" s="578">
        <v>2</v>
      </c>
      <c r="E1229" s="579" t="s">
        <v>8</v>
      </c>
      <c r="F1229" s="569">
        <v>1</v>
      </c>
      <c r="G1229" s="590">
        <v>20.408999999999999</v>
      </c>
      <c r="H1229" s="591"/>
      <c r="I1229" s="591">
        <v>0.375</v>
      </c>
      <c r="J1229" s="591">
        <f t="shared" si="89"/>
        <v>15.306749999999999</v>
      </c>
      <c r="K1229" s="592"/>
    </row>
    <row r="1230" spans="1:11">
      <c r="A1230" s="568"/>
      <c r="B1230" s="593" t="s">
        <v>577</v>
      </c>
      <c r="C1230" s="589" t="s">
        <v>1144</v>
      </c>
      <c r="D1230" s="578">
        <v>1</v>
      </c>
      <c r="E1230" s="579" t="s">
        <v>8</v>
      </c>
      <c r="F1230" s="569">
        <v>1</v>
      </c>
      <c r="G1230" s="590">
        <v>20.408999999999999</v>
      </c>
      <c r="H1230" s="591">
        <v>0.2</v>
      </c>
      <c r="I1230" s="591"/>
      <c r="J1230" s="591">
        <f t="shared" si="89"/>
        <v>4.0818000000000003</v>
      </c>
      <c r="K1230" s="592"/>
    </row>
    <row r="1231" spans="1:11">
      <c r="A1231" s="568"/>
      <c r="B1231" s="593"/>
      <c r="C1231" s="589"/>
      <c r="D1231" s="578">
        <v>2</v>
      </c>
      <c r="E1231" s="579" t="s">
        <v>8</v>
      </c>
      <c r="F1231" s="569">
        <v>1</v>
      </c>
      <c r="G1231" s="590">
        <v>20.408999999999999</v>
      </c>
      <c r="H1231" s="591"/>
      <c r="I1231" s="591">
        <v>0.45</v>
      </c>
      <c r="J1231" s="591">
        <f t="shared" si="89"/>
        <v>18.368099999999998</v>
      </c>
      <c r="K1231" s="592"/>
    </row>
    <row r="1232" spans="1:11">
      <c r="A1232" s="568"/>
      <c r="B1232" s="593"/>
      <c r="C1232" s="589" t="s">
        <v>1145</v>
      </c>
      <c r="D1232" s="578">
        <v>1</v>
      </c>
      <c r="E1232" s="579" t="s">
        <v>8</v>
      </c>
      <c r="F1232" s="569">
        <v>1</v>
      </c>
      <c r="G1232" s="590">
        <v>7.3</v>
      </c>
      <c r="H1232" s="591">
        <v>0.2</v>
      </c>
      <c r="I1232" s="591"/>
      <c r="J1232" s="591">
        <f t="shared" si="89"/>
        <v>1.46</v>
      </c>
      <c r="K1232" s="592"/>
    </row>
    <row r="1233" spans="1:11">
      <c r="A1233" s="568"/>
      <c r="B1233" s="593"/>
      <c r="C1233" s="589"/>
      <c r="D1233" s="578">
        <v>2</v>
      </c>
      <c r="E1233" s="579" t="s">
        <v>8</v>
      </c>
      <c r="F1233" s="569">
        <v>1</v>
      </c>
      <c r="G1233" s="590">
        <v>7.3</v>
      </c>
      <c r="H1233" s="591"/>
      <c r="I1233" s="591">
        <v>0.75</v>
      </c>
      <c r="J1233" s="591">
        <f t="shared" si="89"/>
        <v>10.95</v>
      </c>
      <c r="K1233" s="592"/>
    </row>
    <row r="1234" spans="1:11">
      <c r="A1234" s="568"/>
      <c r="B1234" s="593" t="s">
        <v>574</v>
      </c>
      <c r="C1234" s="589" t="s">
        <v>1146</v>
      </c>
      <c r="D1234" s="578">
        <v>1</v>
      </c>
      <c r="E1234" s="579" t="s">
        <v>8</v>
      </c>
      <c r="F1234" s="569">
        <v>1</v>
      </c>
      <c r="G1234" s="590">
        <v>20.408999999999999</v>
      </c>
      <c r="H1234" s="591">
        <v>0.2</v>
      </c>
      <c r="I1234" s="591"/>
      <c r="J1234" s="591">
        <f t="shared" si="89"/>
        <v>4.0818000000000003</v>
      </c>
      <c r="K1234" s="592"/>
    </row>
    <row r="1235" spans="1:11">
      <c r="A1235" s="568"/>
      <c r="B1235" s="593"/>
      <c r="C1235" s="589"/>
      <c r="D1235" s="578">
        <v>2</v>
      </c>
      <c r="E1235" s="579" t="s">
        <v>8</v>
      </c>
      <c r="F1235" s="569">
        <v>1</v>
      </c>
      <c r="G1235" s="590">
        <v>20.408999999999999</v>
      </c>
      <c r="H1235" s="591"/>
      <c r="I1235" s="591">
        <v>0.45</v>
      </c>
      <c r="J1235" s="591">
        <f t="shared" si="89"/>
        <v>18.368099999999998</v>
      </c>
      <c r="K1235" s="592"/>
    </row>
    <row r="1236" spans="1:11">
      <c r="A1236" s="568"/>
      <c r="B1236" s="593" t="s">
        <v>491</v>
      </c>
      <c r="C1236" s="589" t="s">
        <v>1147</v>
      </c>
      <c r="D1236" s="578">
        <v>1</v>
      </c>
      <c r="E1236" s="579" t="s">
        <v>8</v>
      </c>
      <c r="F1236" s="569">
        <v>1</v>
      </c>
      <c r="G1236" s="590">
        <v>1.9</v>
      </c>
      <c r="H1236" s="591">
        <v>0.2</v>
      </c>
      <c r="I1236" s="591"/>
      <c r="J1236" s="591">
        <f t="shared" si="89"/>
        <v>0.38</v>
      </c>
      <c r="K1236" s="592"/>
    </row>
    <row r="1237" spans="1:11">
      <c r="A1237" s="568"/>
      <c r="B1237" s="593"/>
      <c r="C1237" s="589"/>
      <c r="D1237" s="578">
        <v>2</v>
      </c>
      <c r="E1237" s="579" t="s">
        <v>8</v>
      </c>
      <c r="F1237" s="569">
        <v>1</v>
      </c>
      <c r="G1237" s="590">
        <v>1.9</v>
      </c>
      <c r="H1237" s="591"/>
      <c r="I1237" s="591">
        <v>0.45</v>
      </c>
      <c r="J1237" s="591">
        <f t="shared" si="89"/>
        <v>1.71</v>
      </c>
      <c r="K1237" s="592"/>
    </row>
    <row r="1238" spans="1:11">
      <c r="A1238" s="568"/>
      <c r="B1238" s="593"/>
      <c r="C1238" s="589" t="s">
        <v>1147</v>
      </c>
      <c r="D1238" s="578">
        <v>1</v>
      </c>
      <c r="E1238" s="579" t="s">
        <v>8</v>
      </c>
      <c r="F1238" s="569">
        <v>1</v>
      </c>
      <c r="G1238" s="590">
        <v>6.6</v>
      </c>
      <c r="H1238" s="591">
        <v>0.2</v>
      </c>
      <c r="I1238" s="591"/>
      <c r="J1238" s="591">
        <f t="shared" si="89"/>
        <v>1.32</v>
      </c>
      <c r="K1238" s="592"/>
    </row>
    <row r="1239" spans="1:11">
      <c r="A1239" s="568"/>
      <c r="B1239" s="593"/>
      <c r="C1239" s="589"/>
      <c r="D1239" s="578">
        <v>2</v>
      </c>
      <c r="E1239" s="579" t="s">
        <v>8</v>
      </c>
      <c r="F1239" s="569">
        <v>1</v>
      </c>
      <c r="G1239" s="590">
        <v>6.6</v>
      </c>
      <c r="H1239" s="591"/>
      <c r="I1239" s="591">
        <v>0.6</v>
      </c>
      <c r="J1239" s="591">
        <f t="shared" si="89"/>
        <v>7.919999999999999</v>
      </c>
      <c r="K1239" s="592"/>
    </row>
    <row r="1240" spans="1:11">
      <c r="A1240" s="568"/>
      <c r="B1240" s="593" t="s">
        <v>547</v>
      </c>
      <c r="C1240" s="589" t="s">
        <v>1148</v>
      </c>
      <c r="D1240" s="578">
        <v>1</v>
      </c>
      <c r="E1240" s="579" t="s">
        <v>8</v>
      </c>
      <c r="F1240" s="569">
        <v>1</v>
      </c>
      <c r="G1240" s="590">
        <v>3.7</v>
      </c>
      <c r="H1240" s="591">
        <v>0.2</v>
      </c>
      <c r="I1240" s="591"/>
      <c r="J1240" s="591">
        <f t="shared" si="89"/>
        <v>0.7400000000000001</v>
      </c>
      <c r="K1240" s="592"/>
    </row>
    <row r="1241" spans="1:11">
      <c r="A1241" s="568"/>
      <c r="B1241" s="593"/>
      <c r="C1241" s="589"/>
      <c r="D1241" s="578">
        <v>2</v>
      </c>
      <c r="E1241" s="579" t="s">
        <v>8</v>
      </c>
      <c r="F1241" s="569">
        <v>1</v>
      </c>
      <c r="G1241" s="590">
        <v>3.7</v>
      </c>
      <c r="H1241" s="591"/>
      <c r="I1241" s="591">
        <v>0.45</v>
      </c>
      <c r="J1241" s="591">
        <f t="shared" si="89"/>
        <v>3.33</v>
      </c>
      <c r="K1241" s="592"/>
    </row>
    <row r="1242" spans="1:11">
      <c r="A1242" s="568"/>
      <c r="B1242" s="593"/>
      <c r="C1242" s="589" t="s">
        <v>1149</v>
      </c>
      <c r="D1242" s="578">
        <v>1</v>
      </c>
      <c r="E1242" s="579" t="s">
        <v>8</v>
      </c>
      <c r="F1242" s="569">
        <v>1</v>
      </c>
      <c r="G1242" s="590">
        <v>3.7</v>
      </c>
      <c r="H1242" s="591">
        <v>0.2</v>
      </c>
      <c r="I1242" s="591"/>
      <c r="J1242" s="591">
        <f t="shared" si="89"/>
        <v>0.7400000000000001</v>
      </c>
      <c r="K1242" s="592"/>
    </row>
    <row r="1243" spans="1:11">
      <c r="A1243" s="568"/>
      <c r="B1243" s="593"/>
      <c r="C1243" s="589"/>
      <c r="D1243" s="578">
        <v>2</v>
      </c>
      <c r="E1243" s="579" t="s">
        <v>8</v>
      </c>
      <c r="F1243" s="569">
        <v>1</v>
      </c>
      <c r="G1243" s="590">
        <v>3.7</v>
      </c>
      <c r="H1243" s="591"/>
      <c r="I1243" s="591">
        <v>0.45</v>
      </c>
      <c r="J1243" s="591">
        <f t="shared" si="89"/>
        <v>3.33</v>
      </c>
      <c r="K1243" s="592"/>
    </row>
    <row r="1244" spans="1:11">
      <c r="A1244" s="568"/>
      <c r="B1244" s="593" t="s">
        <v>548</v>
      </c>
      <c r="C1244" s="589" t="s">
        <v>1150</v>
      </c>
      <c r="D1244" s="578">
        <v>1</v>
      </c>
      <c r="E1244" s="579" t="s">
        <v>8</v>
      </c>
      <c r="F1244" s="569">
        <v>1</v>
      </c>
      <c r="G1244" s="590">
        <v>1.7</v>
      </c>
      <c r="H1244" s="591">
        <v>0.2</v>
      </c>
      <c r="I1244" s="591"/>
      <c r="J1244" s="591">
        <f t="shared" si="89"/>
        <v>0.34</v>
      </c>
      <c r="K1244" s="592"/>
    </row>
    <row r="1245" spans="1:11">
      <c r="A1245" s="568"/>
      <c r="B1245" s="593"/>
      <c r="C1245" s="589"/>
      <c r="D1245" s="578">
        <v>2</v>
      </c>
      <c r="E1245" s="579" t="s">
        <v>8</v>
      </c>
      <c r="F1245" s="569">
        <v>1</v>
      </c>
      <c r="G1245" s="590">
        <v>1.7</v>
      </c>
      <c r="H1245" s="591"/>
      <c r="I1245" s="591">
        <v>0.375</v>
      </c>
      <c r="J1245" s="591">
        <f t="shared" si="89"/>
        <v>1.2749999999999999</v>
      </c>
      <c r="K1245" s="592"/>
    </row>
    <row r="1246" spans="1:11">
      <c r="A1246" s="568"/>
      <c r="B1246" s="593"/>
      <c r="C1246" s="589" t="s">
        <v>1150</v>
      </c>
      <c r="D1246" s="578">
        <v>1</v>
      </c>
      <c r="E1246" s="579" t="s">
        <v>8</v>
      </c>
      <c r="F1246" s="569">
        <v>1</v>
      </c>
      <c r="G1246" s="590">
        <v>6.8</v>
      </c>
      <c r="H1246" s="591">
        <v>0.2</v>
      </c>
      <c r="I1246" s="591"/>
      <c r="J1246" s="591">
        <f t="shared" si="89"/>
        <v>1.36</v>
      </c>
      <c r="K1246" s="592"/>
    </row>
    <row r="1247" spans="1:11">
      <c r="A1247" s="568"/>
      <c r="B1247" s="593"/>
      <c r="C1247" s="589"/>
      <c r="D1247" s="578">
        <v>2</v>
      </c>
      <c r="E1247" s="579" t="s">
        <v>8</v>
      </c>
      <c r="F1247" s="569">
        <v>1</v>
      </c>
      <c r="G1247" s="590">
        <v>6.8</v>
      </c>
      <c r="H1247" s="591"/>
      <c r="I1247" s="591">
        <v>0.6</v>
      </c>
      <c r="J1247" s="591">
        <f t="shared" si="89"/>
        <v>8.16</v>
      </c>
      <c r="K1247" s="592"/>
    </row>
    <row r="1248" spans="1:11">
      <c r="A1248" s="568"/>
      <c r="B1248" s="593" t="s">
        <v>583</v>
      </c>
      <c r="C1248" s="589" t="s">
        <v>1151</v>
      </c>
      <c r="D1248" s="578">
        <v>1</v>
      </c>
      <c r="E1248" s="579" t="s">
        <v>8</v>
      </c>
      <c r="F1248" s="569">
        <v>1</v>
      </c>
      <c r="G1248" s="590">
        <v>24.375</v>
      </c>
      <c r="H1248" s="591">
        <v>0.2</v>
      </c>
      <c r="I1248" s="591"/>
      <c r="J1248" s="591">
        <f t="shared" si="89"/>
        <v>4.875</v>
      </c>
      <c r="K1248" s="592"/>
    </row>
    <row r="1249" spans="1:11">
      <c r="A1249" s="568"/>
      <c r="B1249" s="593"/>
      <c r="C1249" s="589"/>
      <c r="D1249" s="578">
        <v>2</v>
      </c>
      <c r="E1249" s="579" t="s">
        <v>8</v>
      </c>
      <c r="F1249" s="569">
        <v>1</v>
      </c>
      <c r="G1249" s="590">
        <v>24.375</v>
      </c>
      <c r="H1249" s="591"/>
      <c r="I1249" s="591">
        <v>0.45</v>
      </c>
      <c r="J1249" s="591">
        <f t="shared" si="89"/>
        <v>21.9375</v>
      </c>
      <c r="K1249" s="592"/>
    </row>
    <row r="1250" spans="1:11">
      <c r="A1250" s="568"/>
      <c r="B1250" s="593" t="s">
        <v>583</v>
      </c>
      <c r="C1250" s="589" t="s">
        <v>1151</v>
      </c>
      <c r="D1250" s="578">
        <v>1</v>
      </c>
      <c r="E1250" s="579" t="s">
        <v>8</v>
      </c>
      <c r="F1250" s="569">
        <v>1</v>
      </c>
      <c r="G1250" s="590">
        <v>8.3000000000000007</v>
      </c>
      <c r="H1250" s="591">
        <v>0.2</v>
      </c>
      <c r="I1250" s="591"/>
      <c r="J1250" s="591">
        <f t="shared" si="89"/>
        <v>1.6600000000000001</v>
      </c>
      <c r="K1250" s="592"/>
    </row>
    <row r="1251" spans="1:11">
      <c r="A1251" s="568"/>
      <c r="B1251" s="593"/>
      <c r="C1251" s="589"/>
      <c r="D1251" s="578">
        <v>2</v>
      </c>
      <c r="E1251" s="579" t="s">
        <v>8</v>
      </c>
      <c r="F1251" s="569">
        <v>1</v>
      </c>
      <c r="G1251" s="590">
        <v>8.3000000000000007</v>
      </c>
      <c r="H1251" s="591"/>
      <c r="I1251" s="591">
        <v>0.6</v>
      </c>
      <c r="J1251" s="591">
        <f t="shared" si="89"/>
        <v>9.9600000000000009</v>
      </c>
      <c r="K1251" s="592"/>
    </row>
    <row r="1252" spans="1:11">
      <c r="A1252" s="568"/>
      <c r="B1252" s="593" t="s">
        <v>548</v>
      </c>
      <c r="C1252" s="589" t="s">
        <v>1152</v>
      </c>
      <c r="D1252" s="578">
        <v>1</v>
      </c>
      <c r="E1252" s="579" t="s">
        <v>8</v>
      </c>
      <c r="F1252" s="569">
        <v>2</v>
      </c>
      <c r="G1252" s="590">
        <v>16.675000000000001</v>
      </c>
      <c r="H1252" s="591">
        <v>0.2</v>
      </c>
      <c r="I1252" s="591"/>
      <c r="J1252" s="591">
        <f t="shared" si="89"/>
        <v>6.6700000000000008</v>
      </c>
      <c r="K1252" s="592"/>
    </row>
    <row r="1253" spans="1:11">
      <c r="A1253" s="568"/>
      <c r="B1253" s="593"/>
      <c r="C1253" s="589"/>
      <c r="D1253" s="578">
        <v>2</v>
      </c>
      <c r="E1253" s="579" t="s">
        <v>8</v>
      </c>
      <c r="F1253" s="569">
        <v>2</v>
      </c>
      <c r="G1253" s="590">
        <v>16.675000000000001</v>
      </c>
      <c r="H1253" s="591"/>
      <c r="I1253" s="591">
        <v>0.45</v>
      </c>
      <c r="J1253" s="591">
        <f t="shared" si="89"/>
        <v>30.015000000000001</v>
      </c>
      <c r="K1253" s="592"/>
    </row>
    <row r="1254" spans="1:11">
      <c r="A1254" s="568"/>
      <c r="B1254" s="593" t="s">
        <v>617</v>
      </c>
      <c r="C1254" s="589"/>
      <c r="G1254" s="590"/>
      <c r="H1254" s="591"/>
      <c r="I1254" s="591"/>
      <c r="J1254" s="591">
        <f t="shared" si="89"/>
        <v>0</v>
      </c>
      <c r="K1254" s="592"/>
    </row>
    <row r="1255" spans="1:11">
      <c r="A1255" s="568"/>
      <c r="B1255" s="593" t="s">
        <v>1153</v>
      </c>
      <c r="C1255" s="589" t="s">
        <v>1154</v>
      </c>
      <c r="D1255" s="578">
        <v>1</v>
      </c>
      <c r="E1255" s="579" t="s">
        <v>8</v>
      </c>
      <c r="F1255" s="569">
        <v>1</v>
      </c>
      <c r="G1255" s="590">
        <v>20.399999999999999</v>
      </c>
      <c r="H1255" s="591">
        <v>0.2</v>
      </c>
      <c r="I1255" s="591"/>
      <c r="J1255" s="591">
        <f t="shared" si="89"/>
        <v>4.08</v>
      </c>
      <c r="K1255" s="592"/>
    </row>
    <row r="1256" spans="1:11">
      <c r="A1256" s="568"/>
      <c r="B1256" s="593"/>
      <c r="C1256" s="589"/>
      <c r="D1256" s="578">
        <v>2</v>
      </c>
      <c r="E1256" s="579" t="s">
        <v>8</v>
      </c>
      <c r="F1256" s="569">
        <v>1</v>
      </c>
      <c r="G1256" s="590">
        <v>20.399999999999999</v>
      </c>
      <c r="H1256" s="591"/>
      <c r="I1256" s="591">
        <v>0.45</v>
      </c>
      <c r="J1256" s="591">
        <f t="shared" si="89"/>
        <v>18.36</v>
      </c>
      <c r="K1256" s="592"/>
    </row>
    <row r="1257" spans="1:11">
      <c r="A1257" s="568"/>
      <c r="B1257" s="593" t="s">
        <v>1155</v>
      </c>
      <c r="C1257" s="589" t="s">
        <v>1156</v>
      </c>
      <c r="D1257" s="578">
        <v>1</v>
      </c>
      <c r="E1257" s="579" t="s">
        <v>8</v>
      </c>
      <c r="F1257" s="569">
        <v>1</v>
      </c>
      <c r="G1257" s="590">
        <v>16.841999999999999</v>
      </c>
      <c r="H1257" s="591">
        <v>0.2</v>
      </c>
      <c r="I1257" s="591"/>
      <c r="J1257" s="591">
        <f t="shared" si="89"/>
        <v>3.3683999999999998</v>
      </c>
      <c r="K1257" s="592"/>
    </row>
    <row r="1258" spans="1:11">
      <c r="A1258" s="568"/>
      <c r="B1258" s="593"/>
      <c r="C1258" s="589"/>
      <c r="D1258" s="578">
        <v>2</v>
      </c>
      <c r="E1258" s="579" t="s">
        <v>8</v>
      </c>
      <c r="F1258" s="569">
        <v>1</v>
      </c>
      <c r="G1258" s="590">
        <v>16.841999999999999</v>
      </c>
      <c r="H1258" s="591"/>
      <c r="I1258" s="591">
        <v>0.45</v>
      </c>
      <c r="J1258" s="591">
        <f t="shared" si="89"/>
        <v>15.1578</v>
      </c>
      <c r="K1258" s="592"/>
    </row>
    <row r="1259" spans="1:11">
      <c r="A1259" s="568"/>
      <c r="B1259" s="593"/>
      <c r="C1259" s="589" t="s">
        <v>1157</v>
      </c>
      <c r="D1259" s="578">
        <v>1</v>
      </c>
      <c r="E1259" s="579" t="s">
        <v>8</v>
      </c>
      <c r="F1259" s="569">
        <v>1</v>
      </c>
      <c r="G1259" s="590">
        <v>3.6989999999999998</v>
      </c>
      <c r="H1259" s="591">
        <v>0.2</v>
      </c>
      <c r="I1259" s="591"/>
      <c r="J1259" s="591">
        <f t="shared" si="89"/>
        <v>0.73980000000000001</v>
      </c>
      <c r="K1259" s="592"/>
    </row>
    <row r="1260" spans="1:11">
      <c r="A1260" s="568"/>
      <c r="B1260" s="593"/>
      <c r="C1260" s="589"/>
      <c r="D1260" s="578">
        <v>2</v>
      </c>
      <c r="E1260" s="579" t="s">
        <v>8</v>
      </c>
      <c r="F1260" s="569">
        <v>1</v>
      </c>
      <c r="G1260" s="590">
        <v>3.6989999999999998</v>
      </c>
      <c r="H1260" s="591"/>
      <c r="I1260" s="591">
        <v>0.6</v>
      </c>
      <c r="J1260" s="591">
        <f t="shared" si="89"/>
        <v>4.4387999999999996</v>
      </c>
      <c r="K1260" s="592"/>
    </row>
    <row r="1261" spans="1:11">
      <c r="A1261" s="568"/>
      <c r="B1261" s="593"/>
      <c r="C1261" s="589" t="s">
        <v>1158</v>
      </c>
      <c r="D1261" s="578">
        <v>1</v>
      </c>
      <c r="E1261" s="579" t="s">
        <v>8</v>
      </c>
      <c r="F1261" s="569">
        <v>1</v>
      </c>
      <c r="G1261" s="590">
        <v>16.800999999999998</v>
      </c>
      <c r="H1261" s="591">
        <v>0.2</v>
      </c>
      <c r="I1261" s="591"/>
      <c r="J1261" s="591">
        <f t="shared" si="89"/>
        <v>3.3601999999999999</v>
      </c>
      <c r="K1261" s="592"/>
    </row>
    <row r="1262" spans="1:11">
      <c r="A1262" s="568"/>
      <c r="B1262" s="593"/>
      <c r="C1262" s="589"/>
      <c r="D1262" s="578">
        <v>2</v>
      </c>
      <c r="E1262" s="579" t="s">
        <v>8</v>
      </c>
      <c r="F1262" s="569">
        <v>1</v>
      </c>
      <c r="G1262" s="590">
        <v>16.800999999999998</v>
      </c>
      <c r="H1262" s="591"/>
      <c r="I1262" s="591">
        <v>0.45</v>
      </c>
      <c r="J1262" s="591">
        <f t="shared" si="89"/>
        <v>15.120899999999999</v>
      </c>
      <c r="K1262" s="592"/>
    </row>
    <row r="1263" spans="1:11">
      <c r="A1263" s="568"/>
      <c r="B1263" s="593"/>
      <c r="C1263" s="589" t="s">
        <v>1159</v>
      </c>
      <c r="D1263" s="578">
        <v>1</v>
      </c>
      <c r="E1263" s="579" t="s">
        <v>8</v>
      </c>
      <c r="F1263" s="569">
        <v>1</v>
      </c>
      <c r="G1263" s="590">
        <v>16.800999999999998</v>
      </c>
      <c r="H1263" s="591">
        <v>0.2</v>
      </c>
      <c r="I1263" s="591"/>
      <c r="J1263" s="591">
        <f t="shared" si="89"/>
        <v>3.3601999999999999</v>
      </c>
      <c r="K1263" s="592"/>
    </row>
    <row r="1264" spans="1:11">
      <c r="A1264" s="568"/>
      <c r="B1264" s="593"/>
      <c r="C1264" s="589"/>
      <c r="D1264" s="578">
        <v>2</v>
      </c>
      <c r="E1264" s="579" t="s">
        <v>8</v>
      </c>
      <c r="F1264" s="569">
        <v>1</v>
      </c>
      <c r="G1264" s="590">
        <v>16.800999999999998</v>
      </c>
      <c r="H1264" s="591"/>
      <c r="I1264" s="591">
        <v>0.45</v>
      </c>
      <c r="J1264" s="591">
        <f t="shared" si="89"/>
        <v>15.120899999999999</v>
      </c>
      <c r="K1264" s="592"/>
    </row>
    <row r="1265" spans="1:11">
      <c r="A1265" s="568"/>
      <c r="B1265" s="593" t="s">
        <v>1160</v>
      </c>
      <c r="C1265" s="589" t="s">
        <v>1161</v>
      </c>
      <c r="D1265" s="578">
        <v>1</v>
      </c>
      <c r="E1265" s="579" t="s">
        <v>8</v>
      </c>
      <c r="F1265" s="569">
        <v>1</v>
      </c>
      <c r="G1265" s="590">
        <v>7</v>
      </c>
      <c r="H1265" s="591">
        <v>0.23</v>
      </c>
      <c r="I1265" s="591"/>
      <c r="J1265" s="591">
        <f t="shared" si="89"/>
        <v>1.61</v>
      </c>
      <c r="K1265" s="592"/>
    </row>
    <row r="1266" spans="1:11">
      <c r="A1266" s="568"/>
      <c r="B1266" s="593"/>
      <c r="C1266" s="589"/>
      <c r="D1266" s="578">
        <v>2</v>
      </c>
      <c r="E1266" s="579" t="s">
        <v>8</v>
      </c>
      <c r="F1266" s="569">
        <v>1</v>
      </c>
      <c r="G1266" s="590">
        <v>7</v>
      </c>
      <c r="H1266" s="591"/>
      <c r="I1266" s="591">
        <v>0.75</v>
      </c>
      <c r="J1266" s="591">
        <f t="shared" ref="J1266:J1297" si="90">PRODUCT(D1266:I1266)</f>
        <v>10.5</v>
      </c>
      <c r="K1266" s="592"/>
    </row>
    <row r="1267" spans="1:11">
      <c r="A1267" s="568"/>
      <c r="B1267" s="593"/>
      <c r="C1267" s="589" t="s">
        <v>1161</v>
      </c>
      <c r="D1267" s="578">
        <v>1</v>
      </c>
      <c r="E1267" s="579" t="s">
        <v>8</v>
      </c>
      <c r="F1267" s="569">
        <v>1</v>
      </c>
      <c r="G1267" s="590">
        <v>16.800999999999998</v>
      </c>
      <c r="H1267" s="591">
        <v>0.2</v>
      </c>
      <c r="I1267" s="591"/>
      <c r="J1267" s="591">
        <f t="shared" si="90"/>
        <v>3.3601999999999999</v>
      </c>
      <c r="K1267" s="592"/>
    </row>
    <row r="1268" spans="1:11">
      <c r="A1268" s="568"/>
      <c r="B1268" s="593"/>
      <c r="C1268" s="589"/>
      <c r="D1268" s="578">
        <v>2</v>
      </c>
      <c r="E1268" s="579" t="s">
        <v>8</v>
      </c>
      <c r="F1268" s="569">
        <v>1</v>
      </c>
      <c r="G1268" s="590">
        <v>16.800999999999998</v>
      </c>
      <c r="H1268" s="591"/>
      <c r="I1268" s="591">
        <v>0.45</v>
      </c>
      <c r="J1268" s="591">
        <f t="shared" si="90"/>
        <v>15.120899999999999</v>
      </c>
      <c r="K1268" s="592"/>
    </row>
    <row r="1269" spans="1:11">
      <c r="A1269" s="568"/>
      <c r="B1269" s="593"/>
      <c r="C1269" s="589" t="s">
        <v>1162</v>
      </c>
      <c r="D1269" s="578">
        <v>1</v>
      </c>
      <c r="E1269" s="579" t="s">
        <v>8</v>
      </c>
      <c r="F1269" s="569">
        <v>1</v>
      </c>
      <c r="G1269" s="590">
        <v>2.2999999999999998</v>
      </c>
      <c r="H1269" s="591">
        <v>0.2</v>
      </c>
      <c r="I1269" s="591"/>
      <c r="J1269" s="591">
        <f t="shared" si="90"/>
        <v>0.45999999999999996</v>
      </c>
      <c r="K1269" s="592"/>
    </row>
    <row r="1270" spans="1:11">
      <c r="A1270" s="568"/>
      <c r="B1270" s="593"/>
      <c r="C1270" s="589"/>
      <c r="D1270" s="578">
        <v>2</v>
      </c>
      <c r="E1270" s="579" t="s">
        <v>8</v>
      </c>
      <c r="F1270" s="569">
        <v>1</v>
      </c>
      <c r="G1270" s="590">
        <v>2.2999999999999998</v>
      </c>
      <c r="H1270" s="591"/>
      <c r="I1270" s="591">
        <v>0.45</v>
      </c>
      <c r="J1270" s="591">
        <f t="shared" si="90"/>
        <v>2.0699999999999998</v>
      </c>
      <c r="K1270" s="592"/>
    </row>
    <row r="1271" spans="1:11">
      <c r="A1271" s="568"/>
      <c r="B1271" s="593"/>
      <c r="C1271" s="589" t="s">
        <v>1163</v>
      </c>
      <c r="D1271" s="578">
        <v>1</v>
      </c>
      <c r="E1271" s="579" t="s">
        <v>8</v>
      </c>
      <c r="F1271" s="569">
        <v>2</v>
      </c>
      <c r="G1271" s="590">
        <v>5.6</v>
      </c>
      <c r="H1271" s="591">
        <v>0.2</v>
      </c>
      <c r="I1271" s="591"/>
      <c r="J1271" s="591">
        <f t="shared" si="90"/>
        <v>2.2399999999999998</v>
      </c>
      <c r="K1271" s="592"/>
    </row>
    <row r="1272" spans="1:11">
      <c r="A1272" s="568"/>
      <c r="B1272" s="593"/>
      <c r="C1272" s="589"/>
      <c r="D1272" s="578">
        <v>2</v>
      </c>
      <c r="E1272" s="579" t="s">
        <v>8</v>
      </c>
      <c r="F1272" s="569">
        <v>2</v>
      </c>
      <c r="G1272" s="590">
        <v>5.6</v>
      </c>
      <c r="H1272" s="591"/>
      <c r="I1272" s="591">
        <v>0.6</v>
      </c>
      <c r="J1272" s="591">
        <f t="shared" si="90"/>
        <v>13.44</v>
      </c>
      <c r="K1272" s="592"/>
    </row>
    <row r="1273" spans="1:11">
      <c r="A1273" s="568"/>
      <c r="B1273" s="593"/>
      <c r="C1273" s="589" t="s">
        <v>1163</v>
      </c>
      <c r="D1273" s="578">
        <v>1</v>
      </c>
      <c r="E1273" s="579" t="s">
        <v>8</v>
      </c>
      <c r="F1273" s="569">
        <v>2</v>
      </c>
      <c r="G1273" s="590">
        <v>2.1</v>
      </c>
      <c r="H1273" s="591">
        <v>0.2</v>
      </c>
      <c r="I1273" s="591"/>
      <c r="J1273" s="591">
        <f t="shared" si="90"/>
        <v>0.84000000000000008</v>
      </c>
      <c r="K1273" s="592"/>
    </row>
    <row r="1274" spans="1:11">
      <c r="A1274" s="568"/>
      <c r="B1274" s="593"/>
      <c r="C1274" s="589"/>
      <c r="D1274" s="578">
        <v>2</v>
      </c>
      <c r="E1274" s="579" t="s">
        <v>8</v>
      </c>
      <c r="F1274" s="569">
        <v>2</v>
      </c>
      <c r="G1274" s="590">
        <v>2.1</v>
      </c>
      <c r="H1274" s="591"/>
      <c r="I1274" s="591">
        <v>0.45</v>
      </c>
      <c r="J1274" s="591">
        <f t="shared" si="90"/>
        <v>3.7800000000000002</v>
      </c>
      <c r="K1274" s="592"/>
    </row>
    <row r="1275" spans="1:11">
      <c r="A1275" s="568"/>
      <c r="B1275" s="593" t="s">
        <v>1164</v>
      </c>
      <c r="C1275" s="589" t="s">
        <v>1165</v>
      </c>
      <c r="D1275" s="578">
        <v>1</v>
      </c>
      <c r="E1275" s="579" t="s">
        <v>8</v>
      </c>
      <c r="F1275" s="569">
        <v>5</v>
      </c>
      <c r="G1275" s="590">
        <v>6.8</v>
      </c>
      <c r="H1275" s="591">
        <v>0.2</v>
      </c>
      <c r="I1275" s="591"/>
      <c r="J1275" s="591">
        <f t="shared" si="90"/>
        <v>6.8000000000000007</v>
      </c>
      <c r="K1275" s="592"/>
    </row>
    <row r="1276" spans="1:11">
      <c r="A1276" s="568"/>
      <c r="B1276" s="593"/>
      <c r="C1276" s="589"/>
      <c r="D1276" s="578">
        <v>2</v>
      </c>
      <c r="E1276" s="579" t="s">
        <v>8</v>
      </c>
      <c r="F1276" s="569">
        <v>5</v>
      </c>
      <c r="G1276" s="590">
        <v>6.8</v>
      </c>
      <c r="H1276" s="591"/>
      <c r="I1276" s="591">
        <v>0.6</v>
      </c>
      <c r="J1276" s="591">
        <f t="shared" si="90"/>
        <v>40.799999999999997</v>
      </c>
      <c r="K1276" s="592"/>
    </row>
    <row r="1277" spans="1:11">
      <c r="A1277" s="568"/>
      <c r="B1277" s="593" t="s">
        <v>1164</v>
      </c>
      <c r="C1277" s="589" t="s">
        <v>1166</v>
      </c>
      <c r="D1277" s="578">
        <v>1</v>
      </c>
      <c r="E1277" s="579" t="s">
        <v>8</v>
      </c>
      <c r="F1277" s="569">
        <v>5</v>
      </c>
      <c r="G1277" s="590">
        <v>1.7</v>
      </c>
      <c r="H1277" s="591">
        <v>0.2</v>
      </c>
      <c r="I1277" s="591"/>
      <c r="J1277" s="591">
        <f t="shared" si="90"/>
        <v>1.7000000000000002</v>
      </c>
      <c r="K1277" s="592"/>
    </row>
    <row r="1278" spans="1:11">
      <c r="A1278" s="568"/>
      <c r="B1278" s="593"/>
      <c r="C1278" s="589"/>
      <c r="D1278" s="578">
        <v>2</v>
      </c>
      <c r="E1278" s="579" t="s">
        <v>8</v>
      </c>
      <c r="F1278" s="569">
        <v>5</v>
      </c>
      <c r="G1278" s="590">
        <v>1.7</v>
      </c>
      <c r="H1278" s="591"/>
      <c r="I1278" s="591">
        <v>0.45</v>
      </c>
      <c r="J1278" s="591">
        <f t="shared" si="90"/>
        <v>7.65</v>
      </c>
      <c r="K1278" s="592"/>
    </row>
    <row r="1279" spans="1:11">
      <c r="A1279" s="568"/>
      <c r="B1279" s="593"/>
      <c r="C1279" s="589" t="s">
        <v>1167</v>
      </c>
      <c r="D1279" s="578">
        <v>1</v>
      </c>
      <c r="E1279" s="579" t="s">
        <v>8</v>
      </c>
      <c r="F1279" s="569">
        <v>3</v>
      </c>
      <c r="G1279" s="590">
        <v>5.6</v>
      </c>
      <c r="H1279" s="591">
        <v>0.2</v>
      </c>
      <c r="I1279" s="591"/>
      <c r="J1279" s="591">
        <f t="shared" si="90"/>
        <v>3.3599999999999994</v>
      </c>
      <c r="K1279" s="592"/>
    </row>
    <row r="1280" spans="1:11">
      <c r="A1280" s="568"/>
      <c r="B1280" s="593"/>
      <c r="C1280" s="589"/>
      <c r="D1280" s="578">
        <v>2</v>
      </c>
      <c r="E1280" s="579" t="s">
        <v>8</v>
      </c>
      <c r="F1280" s="569">
        <v>3</v>
      </c>
      <c r="G1280" s="590">
        <v>5.6</v>
      </c>
      <c r="H1280" s="591"/>
      <c r="I1280" s="591">
        <v>0.6</v>
      </c>
      <c r="J1280" s="591">
        <f t="shared" si="90"/>
        <v>20.159999999999997</v>
      </c>
      <c r="K1280" s="592"/>
    </row>
    <row r="1281" spans="1:11">
      <c r="A1281" s="568"/>
      <c r="B1281" s="593" t="s">
        <v>1168</v>
      </c>
      <c r="C1281" s="589" t="s">
        <v>1167</v>
      </c>
      <c r="D1281" s="578">
        <v>1</v>
      </c>
      <c r="E1281" s="579" t="s">
        <v>8</v>
      </c>
      <c r="F1281" s="569">
        <v>3</v>
      </c>
      <c r="G1281" s="590">
        <f>2.1+5</f>
        <v>7.1</v>
      </c>
      <c r="H1281" s="591">
        <v>0.2</v>
      </c>
      <c r="I1281" s="591"/>
      <c r="J1281" s="591">
        <f t="shared" si="90"/>
        <v>4.26</v>
      </c>
      <c r="K1281" s="592"/>
    </row>
    <row r="1282" spans="1:11">
      <c r="A1282" s="568"/>
      <c r="B1282" s="593"/>
      <c r="C1282" s="589"/>
      <c r="D1282" s="578">
        <v>2</v>
      </c>
      <c r="E1282" s="579" t="s">
        <v>8</v>
      </c>
      <c r="F1282" s="569">
        <v>3</v>
      </c>
      <c r="G1282" s="590">
        <f>2.1+5</f>
        <v>7.1</v>
      </c>
      <c r="H1282" s="591"/>
      <c r="I1282" s="591">
        <v>0.45</v>
      </c>
      <c r="J1282" s="591">
        <f t="shared" si="90"/>
        <v>19.169999999999998</v>
      </c>
      <c r="K1282" s="592"/>
    </row>
    <row r="1283" spans="1:11" ht="17.25" customHeight="1">
      <c r="A1283" s="568"/>
      <c r="B1283" s="593"/>
      <c r="C1283" s="589" t="s">
        <v>1169</v>
      </c>
      <c r="D1283" s="578">
        <v>1</v>
      </c>
      <c r="E1283" s="579" t="s">
        <v>8</v>
      </c>
      <c r="F1283" s="569">
        <v>2</v>
      </c>
      <c r="G1283" s="590">
        <v>12.28</v>
      </c>
      <c r="H1283" s="591">
        <v>0.2</v>
      </c>
      <c r="I1283" s="591"/>
      <c r="J1283" s="591">
        <f t="shared" si="90"/>
        <v>4.9119999999999999</v>
      </c>
      <c r="K1283" s="592"/>
    </row>
    <row r="1284" spans="1:11" ht="17.25" customHeight="1">
      <c r="A1284" s="568"/>
      <c r="B1284" s="593"/>
      <c r="C1284" s="589"/>
      <c r="D1284" s="578">
        <v>2</v>
      </c>
      <c r="E1284" s="579" t="s">
        <v>8</v>
      </c>
      <c r="F1284" s="569">
        <v>2</v>
      </c>
      <c r="G1284" s="590">
        <v>12.28</v>
      </c>
      <c r="H1284" s="591"/>
      <c r="I1284" s="591">
        <v>0.375</v>
      </c>
      <c r="J1284" s="591">
        <f t="shared" si="90"/>
        <v>18.419999999999998</v>
      </c>
      <c r="K1284" s="592"/>
    </row>
    <row r="1285" spans="1:11">
      <c r="A1285" s="568"/>
      <c r="B1285" s="593"/>
      <c r="C1285" s="589" t="s">
        <v>1170</v>
      </c>
      <c r="D1285" s="578">
        <v>1</v>
      </c>
      <c r="E1285" s="579" t="s">
        <v>8</v>
      </c>
      <c r="F1285" s="569">
        <v>6</v>
      </c>
      <c r="G1285" s="590">
        <v>1.7</v>
      </c>
      <c r="H1285" s="591">
        <v>0.2</v>
      </c>
      <c r="I1285" s="591"/>
      <c r="J1285" s="591">
        <f t="shared" si="90"/>
        <v>2.04</v>
      </c>
      <c r="K1285" s="592"/>
    </row>
    <row r="1286" spans="1:11">
      <c r="A1286" s="568"/>
      <c r="B1286" s="593"/>
      <c r="C1286" s="589"/>
      <c r="D1286" s="578">
        <v>2</v>
      </c>
      <c r="E1286" s="579" t="s">
        <v>8</v>
      </c>
      <c r="F1286" s="569">
        <v>6</v>
      </c>
      <c r="G1286" s="590">
        <v>1.7</v>
      </c>
      <c r="H1286" s="591"/>
      <c r="I1286" s="591">
        <v>0.45</v>
      </c>
      <c r="J1286" s="591">
        <f t="shared" si="90"/>
        <v>9.18</v>
      </c>
      <c r="K1286" s="592"/>
    </row>
    <row r="1287" spans="1:11">
      <c r="A1287" s="568"/>
      <c r="B1287" s="593"/>
      <c r="C1287" s="589" t="s">
        <v>1171</v>
      </c>
      <c r="D1287" s="578">
        <v>1</v>
      </c>
      <c r="E1287" s="579" t="s">
        <v>8</v>
      </c>
      <c r="F1287" s="569">
        <v>1</v>
      </c>
      <c r="G1287" s="590">
        <v>8.2430000000000003</v>
      </c>
      <c r="H1287" s="591">
        <v>0.2</v>
      </c>
      <c r="I1287" s="591"/>
      <c r="J1287" s="591">
        <f t="shared" si="90"/>
        <v>1.6486000000000001</v>
      </c>
      <c r="K1287" s="592"/>
    </row>
    <row r="1288" spans="1:11">
      <c r="A1288" s="568"/>
      <c r="B1288" s="593"/>
      <c r="C1288" s="589"/>
      <c r="D1288" s="578">
        <v>2</v>
      </c>
      <c r="E1288" s="579" t="s">
        <v>8</v>
      </c>
      <c r="F1288" s="569">
        <v>1</v>
      </c>
      <c r="G1288" s="590">
        <v>8.2430000000000003</v>
      </c>
      <c r="H1288" s="591"/>
      <c r="I1288" s="591">
        <v>0.45</v>
      </c>
      <c r="J1288" s="591">
        <f t="shared" si="90"/>
        <v>7.4187000000000003</v>
      </c>
      <c r="K1288" s="592"/>
    </row>
    <row r="1289" spans="1:11">
      <c r="A1289" s="568"/>
      <c r="B1289" s="593"/>
      <c r="C1289" s="589" t="s">
        <v>1172</v>
      </c>
      <c r="D1289" s="578">
        <v>1</v>
      </c>
      <c r="E1289" s="579" t="s">
        <v>8</v>
      </c>
      <c r="F1289" s="569">
        <v>1</v>
      </c>
      <c r="G1289" s="590">
        <v>8.2430000000000003</v>
      </c>
      <c r="H1289" s="591">
        <v>0.2</v>
      </c>
      <c r="I1289" s="591"/>
      <c r="J1289" s="591">
        <f t="shared" si="90"/>
        <v>1.6486000000000001</v>
      </c>
      <c r="K1289" s="592"/>
    </row>
    <row r="1290" spans="1:11">
      <c r="A1290" s="568"/>
      <c r="B1290" s="593"/>
      <c r="C1290" s="589"/>
      <c r="D1290" s="578">
        <v>2</v>
      </c>
      <c r="E1290" s="579" t="s">
        <v>8</v>
      </c>
      <c r="F1290" s="569">
        <v>1</v>
      </c>
      <c r="G1290" s="590">
        <v>8.2430000000000003</v>
      </c>
      <c r="H1290" s="591"/>
      <c r="I1290" s="591">
        <v>0.9</v>
      </c>
      <c r="J1290" s="591">
        <f t="shared" si="90"/>
        <v>14.837400000000001</v>
      </c>
      <c r="K1290" s="592"/>
    </row>
    <row r="1291" spans="1:11">
      <c r="A1291" s="568"/>
      <c r="B1291" s="593"/>
      <c r="C1291" s="589" t="s">
        <v>1173</v>
      </c>
      <c r="D1291" s="578">
        <v>1</v>
      </c>
      <c r="E1291" s="579" t="s">
        <v>8</v>
      </c>
      <c r="F1291" s="569">
        <v>8</v>
      </c>
      <c r="G1291" s="590">
        <v>4.2</v>
      </c>
      <c r="H1291" s="591">
        <v>0.3</v>
      </c>
      <c r="I1291" s="591"/>
      <c r="J1291" s="591">
        <f t="shared" si="90"/>
        <v>10.08</v>
      </c>
      <c r="K1291" s="592"/>
    </row>
    <row r="1292" spans="1:11">
      <c r="A1292" s="568"/>
      <c r="B1292" s="593"/>
      <c r="C1292" s="589"/>
      <c r="D1292" s="578">
        <v>2</v>
      </c>
      <c r="E1292" s="579" t="s">
        <v>8</v>
      </c>
      <c r="F1292" s="569">
        <v>8</v>
      </c>
      <c r="G1292" s="590">
        <v>4.2</v>
      </c>
      <c r="H1292" s="591"/>
      <c r="I1292" s="591">
        <v>0.6</v>
      </c>
      <c r="J1292" s="591">
        <f t="shared" si="90"/>
        <v>40.32</v>
      </c>
      <c r="K1292" s="592"/>
    </row>
    <row r="1293" spans="1:11" ht="18" customHeight="1">
      <c r="A1293" s="568"/>
      <c r="B1293" s="593" t="s">
        <v>1421</v>
      </c>
      <c r="C1293" s="599"/>
      <c r="D1293" s="578">
        <v>1</v>
      </c>
      <c r="E1293" s="579" t="s">
        <v>8</v>
      </c>
      <c r="F1293" s="569">
        <v>1</v>
      </c>
      <c r="G1293" s="600">
        <v>6.5</v>
      </c>
      <c r="H1293" s="600">
        <v>0.2</v>
      </c>
      <c r="I1293" s="600"/>
      <c r="J1293" s="597">
        <f t="shared" si="90"/>
        <v>1.3</v>
      </c>
      <c r="K1293" s="568"/>
    </row>
    <row r="1294" spans="1:11" ht="18" customHeight="1">
      <c r="A1294" s="568"/>
      <c r="B1294" s="593"/>
      <c r="C1294" s="599"/>
      <c r="D1294" s="578">
        <v>2</v>
      </c>
      <c r="E1294" s="579" t="s">
        <v>8</v>
      </c>
      <c r="F1294" s="569">
        <v>1</v>
      </c>
      <c r="G1294" s="600">
        <v>6.5</v>
      </c>
      <c r="H1294" s="600"/>
      <c r="I1294" s="600">
        <v>0.45</v>
      </c>
      <c r="J1294" s="597">
        <f t="shared" ref="J1294" si="91">PRODUCT(D1294:I1294)</f>
        <v>5.8500000000000005</v>
      </c>
      <c r="K1294" s="568"/>
    </row>
    <row r="1295" spans="1:11" ht="18" customHeight="1">
      <c r="A1295" s="568"/>
      <c r="B1295" s="593"/>
      <c r="C1295" s="599"/>
      <c r="D1295" s="578">
        <v>1</v>
      </c>
      <c r="E1295" s="579" t="s">
        <v>8</v>
      </c>
      <c r="F1295" s="569">
        <v>1</v>
      </c>
      <c r="G1295" s="600">
        <v>1.8</v>
      </c>
      <c r="H1295" s="600">
        <v>0.2</v>
      </c>
      <c r="I1295" s="600"/>
      <c r="J1295" s="597">
        <f t="shared" si="90"/>
        <v>0.36000000000000004</v>
      </c>
      <c r="K1295" s="568"/>
    </row>
    <row r="1296" spans="1:11" ht="18" customHeight="1">
      <c r="A1296" s="568"/>
      <c r="B1296" s="593"/>
      <c r="C1296" s="599"/>
      <c r="D1296" s="578">
        <v>2</v>
      </c>
      <c r="E1296" s="579" t="s">
        <v>8</v>
      </c>
      <c r="F1296" s="569">
        <v>1</v>
      </c>
      <c r="G1296" s="600">
        <v>1.8</v>
      </c>
      <c r="H1296" s="600"/>
      <c r="I1296" s="600">
        <v>0.45</v>
      </c>
      <c r="J1296" s="597">
        <f t="shared" ref="J1296" si="92">PRODUCT(D1296:I1296)</f>
        <v>1.62</v>
      </c>
      <c r="K1296" s="568"/>
    </row>
    <row r="1297" spans="1:11" ht="18" customHeight="1">
      <c r="A1297" s="568"/>
      <c r="B1297" s="593"/>
      <c r="C1297" s="599"/>
      <c r="D1297" s="578">
        <v>1</v>
      </c>
      <c r="E1297" s="579" t="s">
        <v>8</v>
      </c>
      <c r="F1297" s="569">
        <v>1</v>
      </c>
      <c r="G1297" s="600">
        <v>5</v>
      </c>
      <c r="H1297" s="600">
        <v>0.2</v>
      </c>
      <c r="I1297" s="600"/>
      <c r="J1297" s="597">
        <f t="shared" si="90"/>
        <v>1</v>
      </c>
      <c r="K1297" s="568"/>
    </row>
    <row r="1298" spans="1:11" ht="18" customHeight="1">
      <c r="A1298" s="568"/>
      <c r="B1298" s="593"/>
      <c r="C1298" s="599"/>
      <c r="D1298" s="578">
        <v>2</v>
      </c>
      <c r="E1298" s="579" t="s">
        <v>8</v>
      </c>
      <c r="F1298" s="569">
        <v>1</v>
      </c>
      <c r="G1298" s="600">
        <v>5</v>
      </c>
      <c r="H1298" s="600"/>
      <c r="I1298" s="600">
        <v>0.45</v>
      </c>
      <c r="J1298" s="597">
        <f t="shared" ref="J1298" si="93">PRODUCT(D1298:I1298)</f>
        <v>4.5</v>
      </c>
      <c r="K1298" s="568"/>
    </row>
    <row r="1299" spans="1:11">
      <c r="A1299" s="568"/>
      <c r="B1299" s="593"/>
      <c r="C1299" s="589"/>
      <c r="G1299" s="590"/>
      <c r="H1299" s="591"/>
      <c r="I1299" s="591"/>
      <c r="J1299" s="605">
        <f>SUM(J1202:J1298)</f>
        <v>708.55074999999988</v>
      </c>
      <c r="K1299" s="592"/>
    </row>
    <row r="1300" spans="1:11">
      <c r="A1300" s="568"/>
      <c r="B1300" s="593"/>
      <c r="C1300" s="589"/>
      <c r="G1300" s="590"/>
      <c r="H1300" s="591"/>
      <c r="I1300" s="591"/>
      <c r="J1300" s="605">
        <f>ROUNDUP(J1299,0)</f>
        <v>709</v>
      </c>
      <c r="K1300" s="592" t="s">
        <v>9</v>
      </c>
    </row>
    <row r="1301" spans="1:11">
      <c r="A1301" s="568"/>
      <c r="B1301" s="584" t="s">
        <v>499</v>
      </c>
      <c r="C1301" s="589"/>
      <c r="G1301" s="590"/>
      <c r="H1301" s="591"/>
      <c r="I1301" s="591"/>
      <c r="J1301" s="591"/>
      <c r="K1301" s="592"/>
    </row>
    <row r="1302" spans="1:11">
      <c r="A1302" s="568"/>
      <c r="B1302" s="593" t="s">
        <v>1174</v>
      </c>
      <c r="C1302" s="589"/>
      <c r="D1302" s="578">
        <v>1</v>
      </c>
      <c r="E1302" s="579" t="s">
        <v>8</v>
      </c>
      <c r="F1302" s="569">
        <v>1</v>
      </c>
      <c r="G1302" s="590">
        <v>3.5</v>
      </c>
      <c r="H1302" s="591">
        <v>3.2</v>
      </c>
      <c r="I1302" s="591"/>
      <c r="J1302" s="591">
        <f t="shared" ref="J1302:J1321" si="94">PRODUCT(D1302:I1302)</f>
        <v>11.200000000000001</v>
      </c>
      <c r="K1302" s="592"/>
    </row>
    <row r="1303" spans="1:11">
      <c r="A1303" s="568"/>
      <c r="B1303" s="593" t="s">
        <v>1175</v>
      </c>
      <c r="C1303" s="589"/>
      <c r="D1303" s="578">
        <v>1</v>
      </c>
      <c r="E1303" s="579" t="s">
        <v>8</v>
      </c>
      <c r="F1303" s="569">
        <v>1</v>
      </c>
      <c r="G1303" s="590">
        <v>4</v>
      </c>
      <c r="H1303" s="591">
        <v>3.2</v>
      </c>
      <c r="I1303" s="591"/>
      <c r="J1303" s="591">
        <f t="shared" si="94"/>
        <v>12.8</v>
      </c>
      <c r="K1303" s="592"/>
    </row>
    <row r="1304" spans="1:11">
      <c r="A1304" s="568"/>
      <c r="B1304" s="593" t="s">
        <v>1176</v>
      </c>
      <c r="C1304" s="589" t="s">
        <v>1177</v>
      </c>
      <c r="D1304" s="578">
        <v>1</v>
      </c>
      <c r="E1304" s="579" t="s">
        <v>8</v>
      </c>
      <c r="F1304" s="569">
        <v>5</v>
      </c>
      <c r="G1304" s="590">
        <v>3.77</v>
      </c>
      <c r="H1304" s="591">
        <v>6.8</v>
      </c>
      <c r="I1304" s="591"/>
      <c r="J1304" s="591">
        <f t="shared" si="94"/>
        <v>128.18</v>
      </c>
      <c r="K1304" s="592"/>
    </row>
    <row r="1305" spans="1:11">
      <c r="A1305" s="568"/>
      <c r="B1305" s="593" t="s">
        <v>1178</v>
      </c>
      <c r="C1305" s="589"/>
      <c r="D1305" s="578">
        <v>1</v>
      </c>
      <c r="E1305" s="579" t="s">
        <v>8</v>
      </c>
      <c r="F1305" s="569">
        <v>1</v>
      </c>
      <c r="G1305" s="590">
        <v>3.875</v>
      </c>
      <c r="H1305" s="591">
        <v>7.8</v>
      </c>
      <c r="I1305" s="591"/>
      <c r="J1305" s="591">
        <f t="shared" si="94"/>
        <v>30.224999999999998</v>
      </c>
      <c r="K1305" s="592"/>
    </row>
    <row r="1306" spans="1:11">
      <c r="A1306" s="568"/>
      <c r="B1306" s="593" t="s">
        <v>1179</v>
      </c>
      <c r="C1306" s="589"/>
      <c r="D1306" s="578">
        <v>1</v>
      </c>
      <c r="E1306" s="579" t="s">
        <v>8</v>
      </c>
      <c r="F1306" s="569">
        <v>1</v>
      </c>
      <c r="G1306" s="590">
        <v>1.4</v>
      </c>
      <c r="H1306" s="591">
        <v>7.8</v>
      </c>
      <c r="I1306" s="591"/>
      <c r="J1306" s="591">
        <f t="shared" si="94"/>
        <v>10.92</v>
      </c>
      <c r="K1306" s="592"/>
    </row>
    <row r="1307" spans="1:11">
      <c r="A1307" s="568"/>
      <c r="B1307" s="593" t="s">
        <v>1180</v>
      </c>
      <c r="C1307" s="589"/>
      <c r="D1307" s="578">
        <v>1</v>
      </c>
      <c r="E1307" s="579" t="s">
        <v>8</v>
      </c>
      <c r="F1307" s="569">
        <v>1</v>
      </c>
      <c r="G1307" s="590">
        <v>7.5</v>
      </c>
      <c r="H1307" s="591">
        <v>16.3</v>
      </c>
      <c r="I1307" s="591"/>
      <c r="J1307" s="591">
        <f t="shared" si="94"/>
        <v>122.25</v>
      </c>
      <c r="K1307" s="592"/>
    </row>
    <row r="1308" spans="1:11">
      <c r="A1308" s="568"/>
      <c r="B1308" s="593" t="s">
        <v>1181</v>
      </c>
      <c r="C1308" s="589"/>
      <c r="D1308" s="578">
        <v>1</v>
      </c>
      <c r="E1308" s="579" t="s">
        <v>8</v>
      </c>
      <c r="F1308" s="569">
        <v>1</v>
      </c>
      <c r="G1308" s="590">
        <v>19.8</v>
      </c>
      <c r="H1308" s="591">
        <v>1.5</v>
      </c>
      <c r="I1308" s="591"/>
      <c r="J1308" s="591">
        <f t="shared" si="94"/>
        <v>29.700000000000003</v>
      </c>
      <c r="K1308" s="592"/>
    </row>
    <row r="1309" spans="1:11">
      <c r="A1309" s="568"/>
      <c r="B1309" s="593" t="s">
        <v>1182</v>
      </c>
      <c r="C1309" s="589"/>
      <c r="D1309" s="578">
        <v>1</v>
      </c>
      <c r="E1309" s="579" t="s">
        <v>8</v>
      </c>
      <c r="F1309" s="569">
        <v>1</v>
      </c>
      <c r="G1309" s="590">
        <v>3.3</v>
      </c>
      <c r="H1309" s="591">
        <v>1.9</v>
      </c>
      <c r="I1309" s="591"/>
      <c r="J1309" s="591">
        <f t="shared" si="94"/>
        <v>6.27</v>
      </c>
      <c r="K1309" s="592"/>
    </row>
    <row r="1310" spans="1:11">
      <c r="A1310" s="568"/>
      <c r="B1310" s="593" t="s">
        <v>1183</v>
      </c>
      <c r="C1310" s="589"/>
      <c r="D1310" s="578">
        <v>1</v>
      </c>
      <c r="E1310" s="579" t="s">
        <v>8</v>
      </c>
      <c r="F1310" s="569">
        <v>1</v>
      </c>
      <c r="G1310" s="590">
        <v>3.3</v>
      </c>
      <c r="H1310" s="591">
        <v>1.9</v>
      </c>
      <c r="I1310" s="591"/>
      <c r="J1310" s="591">
        <f t="shared" si="94"/>
        <v>6.27</v>
      </c>
      <c r="K1310" s="592"/>
    </row>
    <row r="1311" spans="1:11">
      <c r="A1311" s="568"/>
      <c r="B1311" s="593" t="s">
        <v>1184</v>
      </c>
      <c r="C1311" s="589"/>
      <c r="D1311" s="578">
        <v>1</v>
      </c>
      <c r="E1311" s="579" t="s">
        <v>8</v>
      </c>
      <c r="F1311" s="569">
        <v>1</v>
      </c>
      <c r="G1311" s="590">
        <v>1.5</v>
      </c>
      <c r="H1311" s="591">
        <v>11.5</v>
      </c>
      <c r="I1311" s="591"/>
      <c r="J1311" s="591">
        <f t="shared" si="94"/>
        <v>17.25</v>
      </c>
      <c r="K1311" s="592"/>
    </row>
    <row r="1312" spans="1:11">
      <c r="A1312" s="568"/>
      <c r="B1312" s="593" t="s">
        <v>1185</v>
      </c>
      <c r="C1312" s="589"/>
      <c r="D1312" s="578">
        <v>1</v>
      </c>
      <c r="E1312" s="579" t="s">
        <v>8</v>
      </c>
      <c r="F1312" s="569">
        <v>1</v>
      </c>
      <c r="G1312" s="590">
        <v>6.4</v>
      </c>
      <c r="H1312" s="591">
        <v>11.8</v>
      </c>
      <c r="I1312" s="591"/>
      <c r="J1312" s="591">
        <f t="shared" si="94"/>
        <v>75.52000000000001</v>
      </c>
      <c r="K1312" s="592"/>
    </row>
    <row r="1313" spans="1:11">
      <c r="A1313" s="568"/>
      <c r="B1313" s="593" t="s">
        <v>1186</v>
      </c>
      <c r="C1313" s="589"/>
      <c r="D1313" s="578">
        <v>1</v>
      </c>
      <c r="E1313" s="579" t="s">
        <v>8</v>
      </c>
      <c r="F1313" s="569">
        <v>1</v>
      </c>
      <c r="G1313" s="590">
        <v>16.274999999999999</v>
      </c>
      <c r="H1313" s="591">
        <v>4</v>
      </c>
      <c r="I1313" s="591"/>
      <c r="J1313" s="591">
        <f t="shared" si="94"/>
        <v>65.099999999999994</v>
      </c>
      <c r="K1313" s="592"/>
    </row>
    <row r="1314" spans="1:11">
      <c r="A1314" s="568"/>
      <c r="B1314" s="593" t="s">
        <v>1745</v>
      </c>
      <c r="C1314" s="589"/>
      <c r="G1314" s="636"/>
      <c r="H1314" s="590"/>
      <c r="I1314" s="591"/>
      <c r="J1314" s="591"/>
      <c r="K1314" s="592"/>
    </row>
    <row r="1315" spans="1:11">
      <c r="A1315" s="568"/>
      <c r="B1315" s="593" t="s">
        <v>516</v>
      </c>
      <c r="C1315" s="599"/>
      <c r="D1315" s="578">
        <v>1</v>
      </c>
      <c r="E1315" s="579" t="s">
        <v>8</v>
      </c>
      <c r="F1315" s="569">
        <v>1</v>
      </c>
      <c r="G1315" s="619">
        <v>4</v>
      </c>
      <c r="H1315" s="604"/>
      <c r="I1315" s="600"/>
      <c r="J1315" s="597">
        <f>PRODUCT(D1315:I1315)</f>
        <v>4</v>
      </c>
      <c r="K1315" s="568"/>
    </row>
    <row r="1316" spans="1:11">
      <c r="A1316" s="568"/>
      <c r="B1316" s="593" t="s">
        <v>516</v>
      </c>
      <c r="C1316" s="599"/>
      <c r="D1316" s="578">
        <v>1</v>
      </c>
      <c r="E1316" s="579" t="s">
        <v>8</v>
      </c>
      <c r="F1316" s="569">
        <v>1</v>
      </c>
      <c r="G1316" s="619">
        <v>6.86</v>
      </c>
      <c r="H1316" s="604"/>
      <c r="I1316" s="600"/>
      <c r="J1316" s="597">
        <f>PRODUCT(D1316:I1316)</f>
        <v>6.86</v>
      </c>
      <c r="K1316" s="568"/>
    </row>
    <row r="1317" spans="1:11">
      <c r="A1317" s="568"/>
      <c r="B1317" s="593" t="s">
        <v>1347</v>
      </c>
      <c r="C1317" s="599"/>
      <c r="D1317" s="578">
        <v>1</v>
      </c>
      <c r="E1317" s="579" t="s">
        <v>8</v>
      </c>
      <c r="F1317" s="569">
        <v>1</v>
      </c>
      <c r="G1317" s="600">
        <f>0.2+1.2+0.2</f>
        <v>1.5999999999999999</v>
      </c>
      <c r="H1317" s="600">
        <f>0.2+2+0.2</f>
        <v>2.4000000000000004</v>
      </c>
      <c r="I1317" s="568"/>
      <c r="J1317" s="597">
        <f t="shared" si="94"/>
        <v>3.8400000000000003</v>
      </c>
      <c r="K1317" s="592"/>
    </row>
    <row r="1318" spans="1:11">
      <c r="A1318" s="568"/>
      <c r="B1318" s="593" t="s">
        <v>1399</v>
      </c>
      <c r="C1318" s="606"/>
      <c r="D1318" s="578">
        <v>1</v>
      </c>
      <c r="E1318" s="579" t="s">
        <v>8</v>
      </c>
      <c r="F1318" s="569">
        <v>1</v>
      </c>
      <c r="G1318" s="600">
        <v>7.1</v>
      </c>
      <c r="H1318" s="600">
        <v>3</v>
      </c>
      <c r="I1318" s="568"/>
      <c r="J1318" s="597">
        <f t="shared" si="94"/>
        <v>21.299999999999997</v>
      </c>
      <c r="K1318" s="592"/>
    </row>
    <row r="1319" spans="1:11">
      <c r="A1319" s="568"/>
      <c r="B1319" s="593" t="s">
        <v>1349</v>
      </c>
      <c r="C1319" s="606"/>
      <c r="D1319" s="578">
        <v>-2</v>
      </c>
      <c r="E1319" s="579" t="s">
        <v>8</v>
      </c>
      <c r="F1319" s="569">
        <v>1</v>
      </c>
      <c r="G1319" s="600">
        <v>0.6</v>
      </c>
      <c r="H1319" s="600">
        <v>0.6</v>
      </c>
      <c r="I1319" s="568"/>
      <c r="J1319" s="597">
        <f t="shared" si="94"/>
        <v>-0.72</v>
      </c>
      <c r="K1319" s="592"/>
    </row>
    <row r="1320" spans="1:11">
      <c r="A1320" s="568"/>
      <c r="B1320" s="593" t="s">
        <v>1371</v>
      </c>
      <c r="C1320" s="606"/>
      <c r="D1320" s="578">
        <v>1</v>
      </c>
      <c r="E1320" s="579" t="s">
        <v>8</v>
      </c>
      <c r="F1320" s="569">
        <v>1</v>
      </c>
      <c r="G1320" s="600">
        <v>7.7</v>
      </c>
      <c r="H1320" s="600">
        <v>3.4</v>
      </c>
      <c r="I1320" s="568"/>
      <c r="J1320" s="597">
        <f t="shared" si="94"/>
        <v>26.18</v>
      </c>
      <c r="K1320" s="592"/>
    </row>
    <row r="1321" spans="1:11">
      <c r="A1321" s="568"/>
      <c r="B1321" s="593" t="s">
        <v>1349</v>
      </c>
      <c r="C1321" s="606"/>
      <c r="D1321" s="578">
        <v>-6</v>
      </c>
      <c r="E1321" s="579" t="s">
        <v>8</v>
      </c>
      <c r="F1321" s="569">
        <v>1</v>
      </c>
      <c r="G1321" s="600">
        <v>0.6</v>
      </c>
      <c r="H1321" s="600">
        <v>0.6</v>
      </c>
      <c r="I1321" s="568"/>
      <c r="J1321" s="597">
        <f t="shared" si="94"/>
        <v>-2.1599999999999997</v>
      </c>
      <c r="K1321" s="592"/>
    </row>
    <row r="1322" spans="1:11">
      <c r="A1322" s="568"/>
      <c r="B1322" s="593"/>
      <c r="C1322" s="589"/>
      <c r="G1322" s="590"/>
      <c r="H1322" s="591"/>
      <c r="I1322" s="591"/>
      <c r="J1322" s="605">
        <f>SUM(J1302:J1321)</f>
        <v>574.9849999999999</v>
      </c>
      <c r="K1322" s="592"/>
    </row>
    <row r="1323" spans="1:11">
      <c r="A1323" s="568"/>
      <c r="B1323" s="593"/>
      <c r="C1323" s="589"/>
      <c r="G1323" s="590"/>
      <c r="H1323" s="591"/>
      <c r="I1323" s="591"/>
      <c r="J1323" s="605">
        <f>ROUNDUP(J1322,0)</f>
        <v>575</v>
      </c>
      <c r="K1323" s="592" t="s">
        <v>9</v>
      </c>
    </row>
    <row r="1324" spans="1:11">
      <c r="A1324" s="568"/>
      <c r="B1324" s="584" t="s">
        <v>614</v>
      </c>
      <c r="C1324" s="589"/>
      <c r="G1324" s="590"/>
      <c r="H1324" s="591"/>
      <c r="I1324" s="591"/>
      <c r="J1324" s="591"/>
      <c r="K1324" s="592"/>
    </row>
    <row r="1325" spans="1:11">
      <c r="A1325" s="568"/>
      <c r="B1325" s="593" t="s">
        <v>1642</v>
      </c>
      <c r="C1325" s="589"/>
      <c r="D1325" s="578">
        <v>1</v>
      </c>
      <c r="E1325" s="579" t="s">
        <v>8</v>
      </c>
      <c r="F1325" s="569">
        <v>1</v>
      </c>
      <c r="G1325" s="590">
        <v>4.5</v>
      </c>
      <c r="H1325" s="591">
        <v>1.5</v>
      </c>
      <c r="I1325" s="591"/>
      <c r="J1325" s="591">
        <f>PRODUCT(D1325:I1325)</f>
        <v>6.75</v>
      </c>
      <c r="K1325" s="592"/>
    </row>
    <row r="1326" spans="1:11">
      <c r="A1326" s="568"/>
      <c r="B1326" s="593" t="s">
        <v>1643</v>
      </c>
      <c r="C1326" s="589"/>
      <c r="D1326" s="578">
        <v>1</v>
      </c>
      <c r="E1326" s="579" t="s">
        <v>8</v>
      </c>
      <c r="F1326" s="569">
        <v>1</v>
      </c>
      <c r="G1326" s="590">
        <v>3.7</v>
      </c>
      <c r="H1326" s="591">
        <v>1.5</v>
      </c>
      <c r="I1326" s="591"/>
      <c r="J1326" s="591">
        <f>PRODUCT(D1326:I1326)</f>
        <v>5.5500000000000007</v>
      </c>
      <c r="K1326" s="592"/>
    </row>
    <row r="1327" spans="1:11">
      <c r="A1327" s="568"/>
      <c r="B1327" s="593" t="s">
        <v>502</v>
      </c>
      <c r="C1327" s="589"/>
      <c r="D1327" s="578">
        <v>1</v>
      </c>
      <c r="E1327" s="579" t="s">
        <v>8</v>
      </c>
      <c r="F1327" s="569">
        <v>1</v>
      </c>
      <c r="G1327" s="725">
        <f>(5403232/1000000)</f>
        <v>5.403232</v>
      </c>
      <c r="H1327" s="726"/>
      <c r="I1327" s="591"/>
      <c r="J1327" s="591">
        <f t="shared" ref="J1327:J1330" si="95">PRODUCT(D1327:I1327)</f>
        <v>5.403232</v>
      </c>
      <c r="K1327" s="592"/>
    </row>
    <row r="1328" spans="1:11">
      <c r="A1328" s="568"/>
      <c r="B1328" s="593" t="s">
        <v>501</v>
      </c>
      <c r="C1328" s="589"/>
      <c r="D1328" s="578">
        <v>1</v>
      </c>
      <c r="E1328" s="579" t="s">
        <v>8</v>
      </c>
      <c r="F1328" s="569">
        <v>1</v>
      </c>
      <c r="G1328" s="590">
        <v>3.3</v>
      </c>
      <c r="H1328" s="591"/>
      <c r="I1328" s="591">
        <v>0.6</v>
      </c>
      <c r="J1328" s="591">
        <f t="shared" si="95"/>
        <v>1.9799999999999998</v>
      </c>
      <c r="K1328" s="592"/>
    </row>
    <row r="1329" spans="1:11">
      <c r="A1329" s="568"/>
      <c r="B1329" s="593" t="s">
        <v>500</v>
      </c>
      <c r="C1329" s="589"/>
      <c r="D1329" s="578">
        <v>0.5</v>
      </c>
      <c r="E1329" s="579" t="s">
        <v>8</v>
      </c>
      <c r="F1329" s="569">
        <v>22</v>
      </c>
      <c r="G1329" s="590">
        <v>1.5</v>
      </c>
      <c r="H1329" s="591"/>
      <c r="I1329" s="591">
        <v>0.15</v>
      </c>
      <c r="J1329" s="591">
        <f t="shared" si="95"/>
        <v>2.4750000000000001</v>
      </c>
      <c r="K1329" s="592"/>
    </row>
    <row r="1330" spans="1:11">
      <c r="A1330" s="568"/>
      <c r="B1330" s="593" t="s">
        <v>610</v>
      </c>
      <c r="C1330" s="589"/>
      <c r="D1330" s="578">
        <v>0.5</v>
      </c>
      <c r="E1330" s="579" t="s">
        <v>8</v>
      </c>
      <c r="F1330" s="569">
        <v>1</v>
      </c>
      <c r="G1330" s="590">
        <v>3.3</v>
      </c>
      <c r="H1330" s="591">
        <v>1.8</v>
      </c>
      <c r="I1330" s="591"/>
      <c r="J1330" s="591">
        <f t="shared" si="95"/>
        <v>2.9699999999999998</v>
      </c>
      <c r="K1330" s="592"/>
    </row>
    <row r="1331" spans="1:11">
      <c r="A1331" s="568"/>
      <c r="B1331" s="584" t="s">
        <v>615</v>
      </c>
      <c r="C1331" s="589"/>
      <c r="G1331" s="590"/>
      <c r="H1331" s="591"/>
      <c r="I1331" s="591"/>
      <c r="J1331" s="591"/>
      <c r="K1331" s="592"/>
    </row>
    <row r="1332" spans="1:11">
      <c r="A1332" s="568"/>
      <c r="B1332" s="593" t="s">
        <v>1642</v>
      </c>
      <c r="C1332" s="589"/>
      <c r="D1332" s="578">
        <v>1</v>
      </c>
      <c r="E1332" s="579" t="s">
        <v>8</v>
      </c>
      <c r="F1332" s="569">
        <v>1</v>
      </c>
      <c r="G1332" s="590">
        <v>4.5</v>
      </c>
      <c r="H1332" s="591">
        <v>1.5</v>
      </c>
      <c r="I1332" s="591"/>
      <c r="J1332" s="591">
        <f>PRODUCT(D1332:I1332)</f>
        <v>6.75</v>
      </c>
      <c r="K1332" s="592"/>
    </row>
    <row r="1333" spans="1:11">
      <c r="A1333" s="568"/>
      <c r="B1333" s="593" t="s">
        <v>1643</v>
      </c>
      <c r="C1333" s="589"/>
      <c r="D1333" s="578">
        <v>1</v>
      </c>
      <c r="E1333" s="579" t="s">
        <v>8</v>
      </c>
      <c r="F1333" s="569">
        <v>1</v>
      </c>
      <c r="G1333" s="590">
        <v>3.7</v>
      </c>
      <c r="H1333" s="591">
        <v>1.5</v>
      </c>
      <c r="I1333" s="591"/>
      <c r="J1333" s="591">
        <f>PRODUCT(D1333:I1333)</f>
        <v>5.5500000000000007</v>
      </c>
      <c r="K1333" s="592"/>
    </row>
    <row r="1334" spans="1:11">
      <c r="A1334" s="568"/>
      <c r="B1334" s="593" t="s">
        <v>502</v>
      </c>
      <c r="C1334" s="589"/>
      <c r="D1334" s="578">
        <v>1</v>
      </c>
      <c r="E1334" s="579" t="s">
        <v>8</v>
      </c>
      <c r="F1334" s="569">
        <v>1</v>
      </c>
      <c r="G1334" s="725">
        <f>(5403232/1000000)</f>
        <v>5.403232</v>
      </c>
      <c r="H1334" s="726"/>
      <c r="I1334" s="591"/>
      <c r="J1334" s="591">
        <f t="shared" ref="J1334:J1337" si="96">PRODUCT(D1334:I1334)</f>
        <v>5.403232</v>
      </c>
      <c r="K1334" s="592"/>
    </row>
    <row r="1335" spans="1:11">
      <c r="A1335" s="568"/>
      <c r="B1335" s="593" t="s">
        <v>501</v>
      </c>
      <c r="C1335" s="589"/>
      <c r="D1335" s="578">
        <v>1</v>
      </c>
      <c r="E1335" s="579" t="s">
        <v>8</v>
      </c>
      <c r="F1335" s="569">
        <v>1</v>
      </c>
      <c r="G1335" s="590">
        <v>3.3</v>
      </c>
      <c r="H1335" s="591"/>
      <c r="I1335" s="591">
        <v>0.6</v>
      </c>
      <c r="J1335" s="591">
        <f t="shared" si="96"/>
        <v>1.9799999999999998</v>
      </c>
      <c r="K1335" s="592"/>
    </row>
    <row r="1336" spans="1:11">
      <c r="A1336" s="568"/>
      <c r="B1336" s="593" t="s">
        <v>500</v>
      </c>
      <c r="C1336" s="589"/>
      <c r="D1336" s="578">
        <v>0.5</v>
      </c>
      <c r="E1336" s="579" t="s">
        <v>8</v>
      </c>
      <c r="F1336" s="569">
        <v>22</v>
      </c>
      <c r="G1336" s="590">
        <v>1.5</v>
      </c>
      <c r="H1336" s="591"/>
      <c r="I1336" s="591">
        <v>0.15</v>
      </c>
      <c r="J1336" s="591">
        <f t="shared" si="96"/>
        <v>2.4750000000000001</v>
      </c>
      <c r="K1336" s="592"/>
    </row>
    <row r="1337" spans="1:11">
      <c r="A1337" s="568"/>
      <c r="B1337" s="593" t="s">
        <v>610</v>
      </c>
      <c r="C1337" s="589"/>
      <c r="D1337" s="578">
        <v>0.5</v>
      </c>
      <c r="E1337" s="579" t="s">
        <v>8</v>
      </c>
      <c r="F1337" s="569">
        <v>1</v>
      </c>
      <c r="G1337" s="590">
        <v>3.3</v>
      </c>
      <c r="H1337" s="591">
        <v>1.8</v>
      </c>
      <c r="I1337" s="591"/>
      <c r="J1337" s="591">
        <f t="shared" si="96"/>
        <v>2.9699999999999998</v>
      </c>
      <c r="K1337" s="592"/>
    </row>
    <row r="1338" spans="1:11">
      <c r="A1338" s="568"/>
      <c r="B1338" s="593"/>
      <c r="C1338" s="589"/>
      <c r="G1338" s="590"/>
      <c r="H1338" s="591"/>
      <c r="I1338" s="591"/>
      <c r="J1338" s="605">
        <f>SUM(J1325:J1337)</f>
        <v>50.256464000000001</v>
      </c>
      <c r="K1338" s="592"/>
    </row>
    <row r="1339" spans="1:11">
      <c r="A1339" s="568"/>
      <c r="B1339" s="593"/>
      <c r="C1339" s="589"/>
      <c r="G1339" s="590"/>
      <c r="H1339" s="591"/>
      <c r="I1339" s="591"/>
      <c r="J1339" s="605">
        <f>ROUNDUP(J1338,0)</f>
        <v>51</v>
      </c>
      <c r="K1339" s="592" t="s">
        <v>9</v>
      </c>
    </row>
    <row r="1340" spans="1:11">
      <c r="A1340" s="568"/>
      <c r="B1340" s="584" t="s">
        <v>62</v>
      </c>
      <c r="C1340" s="589"/>
      <c r="G1340" s="590"/>
      <c r="H1340" s="591"/>
      <c r="I1340" s="591"/>
      <c r="J1340" s="591"/>
      <c r="K1340" s="592"/>
    </row>
    <row r="1341" spans="1:11">
      <c r="A1341" s="568"/>
      <c r="B1341" s="593" t="s">
        <v>504</v>
      </c>
      <c r="C1341" s="589"/>
      <c r="G1341" s="590"/>
      <c r="H1341" s="591"/>
      <c r="I1341" s="591"/>
      <c r="J1341" s="591"/>
      <c r="K1341" s="592"/>
    </row>
    <row r="1342" spans="1:11">
      <c r="A1342" s="568"/>
      <c r="B1342" s="593" t="s">
        <v>1022</v>
      </c>
      <c r="C1342" s="589"/>
      <c r="D1342" s="578">
        <v>1</v>
      </c>
      <c r="E1342" s="579" t="s">
        <v>8</v>
      </c>
      <c r="F1342" s="569">
        <v>1</v>
      </c>
      <c r="G1342" s="590">
        <v>8.3000000000000007</v>
      </c>
      <c r="H1342" s="591"/>
      <c r="I1342" s="591">
        <v>0.2</v>
      </c>
      <c r="J1342" s="591">
        <f t="shared" ref="J1342:J1350" si="97">PRODUCT(D1342:I1342)</f>
        <v>1.6600000000000001</v>
      </c>
      <c r="K1342" s="592"/>
    </row>
    <row r="1343" spans="1:11">
      <c r="A1343" s="568"/>
      <c r="B1343" s="593"/>
      <c r="C1343" s="589"/>
      <c r="D1343" s="578">
        <v>1</v>
      </c>
      <c r="E1343" s="579" t="s">
        <v>8</v>
      </c>
      <c r="F1343" s="569">
        <v>1</v>
      </c>
      <c r="G1343" s="590">
        <v>21.87</v>
      </c>
      <c r="H1343" s="591"/>
      <c r="I1343" s="591">
        <v>0.2</v>
      </c>
      <c r="J1343" s="591">
        <f t="shared" si="97"/>
        <v>4.3740000000000006</v>
      </c>
      <c r="K1343" s="592"/>
    </row>
    <row r="1344" spans="1:11">
      <c r="A1344" s="568"/>
      <c r="B1344" s="593" t="s">
        <v>1189</v>
      </c>
      <c r="C1344" s="589"/>
      <c r="D1344" s="578">
        <v>1</v>
      </c>
      <c r="E1344" s="579" t="s">
        <v>8</v>
      </c>
      <c r="F1344" s="569">
        <v>1</v>
      </c>
      <c r="G1344" s="590">
        <f>8.2+0.5</f>
        <v>8.6999999999999993</v>
      </c>
      <c r="H1344" s="591"/>
      <c r="I1344" s="591">
        <v>0.2</v>
      </c>
      <c r="J1344" s="591">
        <f t="shared" si="97"/>
        <v>1.74</v>
      </c>
      <c r="K1344" s="592"/>
    </row>
    <row r="1345" spans="1:11">
      <c r="A1345" s="568"/>
      <c r="B1345" s="593"/>
      <c r="C1345" s="589"/>
      <c r="D1345" s="578">
        <v>1</v>
      </c>
      <c r="E1345" s="579" t="s">
        <v>8</v>
      </c>
      <c r="F1345" s="569">
        <v>1</v>
      </c>
      <c r="G1345" s="590">
        <v>12</v>
      </c>
      <c r="H1345" s="591"/>
      <c r="I1345" s="591">
        <v>0.2</v>
      </c>
      <c r="J1345" s="591">
        <f t="shared" si="97"/>
        <v>2.4000000000000004</v>
      </c>
      <c r="K1345" s="592"/>
    </row>
    <row r="1346" spans="1:11">
      <c r="A1346" s="568"/>
      <c r="B1346" s="593" t="s">
        <v>583</v>
      </c>
      <c r="C1346" s="589"/>
      <c r="D1346" s="578">
        <v>1</v>
      </c>
      <c r="E1346" s="579" t="s">
        <v>8</v>
      </c>
      <c r="F1346" s="569">
        <v>1</v>
      </c>
      <c r="G1346" s="590">
        <v>10.6</v>
      </c>
      <c r="H1346" s="591"/>
      <c r="I1346" s="591">
        <v>0.2</v>
      </c>
      <c r="J1346" s="591">
        <f t="shared" si="97"/>
        <v>2.12</v>
      </c>
      <c r="K1346" s="592"/>
    </row>
    <row r="1347" spans="1:11">
      <c r="A1347" s="568"/>
      <c r="B1347" s="593"/>
      <c r="C1347" s="589"/>
      <c r="D1347" s="578">
        <v>1</v>
      </c>
      <c r="E1347" s="579" t="s">
        <v>8</v>
      </c>
      <c r="F1347" s="569">
        <v>1</v>
      </c>
      <c r="G1347" s="590">
        <v>5.45</v>
      </c>
      <c r="H1347" s="591"/>
      <c r="I1347" s="591">
        <v>0.2</v>
      </c>
      <c r="J1347" s="591">
        <f t="shared" si="97"/>
        <v>1.0900000000000001</v>
      </c>
      <c r="K1347" s="592"/>
    </row>
    <row r="1348" spans="1:11">
      <c r="A1348" s="568"/>
      <c r="B1348" s="593"/>
      <c r="C1348" s="589"/>
      <c r="D1348" s="578">
        <v>1</v>
      </c>
      <c r="E1348" s="579" t="s">
        <v>8</v>
      </c>
      <c r="F1348" s="569">
        <v>1</v>
      </c>
      <c r="G1348" s="590">
        <v>6</v>
      </c>
      <c r="H1348" s="591"/>
      <c r="I1348" s="591">
        <v>0.2</v>
      </c>
      <c r="J1348" s="591">
        <f t="shared" si="97"/>
        <v>1.2000000000000002</v>
      </c>
      <c r="K1348" s="592"/>
    </row>
    <row r="1349" spans="1:11">
      <c r="A1349" s="568"/>
      <c r="B1349" s="593"/>
      <c r="C1349" s="589"/>
      <c r="D1349" s="578">
        <v>1</v>
      </c>
      <c r="E1349" s="579" t="s">
        <v>8</v>
      </c>
      <c r="F1349" s="569">
        <v>1</v>
      </c>
      <c r="G1349" s="590">
        <v>10</v>
      </c>
      <c r="H1349" s="591"/>
      <c r="I1349" s="591">
        <v>0.2</v>
      </c>
      <c r="J1349" s="591">
        <f t="shared" si="97"/>
        <v>2</v>
      </c>
      <c r="K1349" s="592"/>
    </row>
    <row r="1350" spans="1:11">
      <c r="A1350" s="568"/>
      <c r="B1350" s="593" t="s">
        <v>549</v>
      </c>
      <c r="C1350" s="589"/>
      <c r="D1350" s="578">
        <v>1</v>
      </c>
      <c r="E1350" s="579" t="s">
        <v>8</v>
      </c>
      <c r="F1350" s="569">
        <v>1</v>
      </c>
      <c r="G1350" s="590">
        <v>20.2</v>
      </c>
      <c r="H1350" s="591"/>
      <c r="I1350" s="591">
        <v>0.2</v>
      </c>
      <c r="J1350" s="591">
        <f t="shared" si="97"/>
        <v>4.04</v>
      </c>
      <c r="K1350" s="592"/>
    </row>
    <row r="1351" spans="1:11">
      <c r="A1351" s="568"/>
      <c r="B1351" s="593" t="s">
        <v>611</v>
      </c>
      <c r="C1351" s="589"/>
      <c r="G1351" s="590"/>
      <c r="H1351" s="591"/>
      <c r="I1351" s="591"/>
      <c r="J1351" s="591"/>
      <c r="K1351" s="592"/>
    </row>
    <row r="1352" spans="1:11">
      <c r="A1352" s="568"/>
      <c r="B1352" s="593" t="s">
        <v>613</v>
      </c>
      <c r="C1352" s="589"/>
      <c r="D1352" s="578">
        <v>1</v>
      </c>
      <c r="E1352" s="579" t="s">
        <v>8</v>
      </c>
      <c r="F1352" s="569">
        <v>4</v>
      </c>
      <c r="G1352" s="590">
        <f>1.2+0.2+0.2</f>
        <v>1.5999999999999999</v>
      </c>
      <c r="H1352" s="591"/>
      <c r="I1352" s="591">
        <v>0.2</v>
      </c>
      <c r="J1352" s="591">
        <f t="shared" ref="J1352:J1354" si="98">PRODUCT(D1352:I1352)</f>
        <v>1.28</v>
      </c>
      <c r="K1352" s="592"/>
    </row>
    <row r="1353" spans="1:11">
      <c r="A1353" s="568"/>
      <c r="B1353" s="593" t="s">
        <v>29</v>
      </c>
      <c r="C1353" s="589"/>
      <c r="D1353" s="578">
        <v>1</v>
      </c>
      <c r="E1353" s="579" t="s">
        <v>8</v>
      </c>
      <c r="F1353" s="569">
        <v>2</v>
      </c>
      <c r="G1353" s="590">
        <f>1+0.2+0.2</f>
        <v>1.4</v>
      </c>
      <c r="H1353" s="591"/>
      <c r="I1353" s="591">
        <v>0.2</v>
      </c>
      <c r="J1353" s="591">
        <f t="shared" si="98"/>
        <v>0.55999999999999994</v>
      </c>
      <c r="K1353" s="592"/>
    </row>
    <row r="1354" spans="1:11">
      <c r="A1354" s="568"/>
      <c r="B1354" s="593" t="s">
        <v>585</v>
      </c>
      <c r="C1354" s="589"/>
      <c r="D1354" s="578">
        <v>1</v>
      </c>
      <c r="E1354" s="579" t="s">
        <v>8</v>
      </c>
      <c r="F1354" s="569">
        <v>3</v>
      </c>
      <c r="G1354" s="590">
        <f>0.9+0.2+0.2</f>
        <v>1.3</v>
      </c>
      <c r="H1354" s="591"/>
      <c r="I1354" s="591">
        <v>0.2</v>
      </c>
      <c r="J1354" s="591">
        <f t="shared" si="98"/>
        <v>0.78000000000000014</v>
      </c>
      <c r="K1354" s="592"/>
    </row>
    <row r="1355" spans="1:11">
      <c r="A1355" s="568"/>
      <c r="B1355" s="593" t="s">
        <v>612</v>
      </c>
      <c r="C1355" s="589"/>
      <c r="G1355" s="590"/>
      <c r="H1355" s="591"/>
      <c r="I1355" s="591"/>
      <c r="J1355" s="591"/>
      <c r="K1355" s="592"/>
    </row>
    <row r="1356" spans="1:11">
      <c r="A1356" s="568"/>
      <c r="B1356" s="593" t="s">
        <v>902</v>
      </c>
      <c r="C1356" s="589"/>
      <c r="D1356" s="578">
        <v>1</v>
      </c>
      <c r="E1356" s="579" t="s">
        <v>8</v>
      </c>
      <c r="F1356" s="569">
        <v>5</v>
      </c>
      <c r="G1356" s="590">
        <f>0.75+0.2+0.2</f>
        <v>1.1499999999999999</v>
      </c>
      <c r="H1356" s="591"/>
      <c r="I1356" s="591">
        <v>0.2</v>
      </c>
      <c r="J1356" s="591">
        <f>PRODUCT(D1356:I1356)</f>
        <v>1.1500000000000001</v>
      </c>
      <c r="K1356" s="592"/>
    </row>
    <row r="1357" spans="1:11">
      <c r="A1357" s="568"/>
      <c r="B1357" s="593" t="s">
        <v>1190</v>
      </c>
      <c r="C1357" s="589"/>
      <c r="D1357" s="578">
        <v>1</v>
      </c>
      <c r="E1357" s="579" t="s">
        <v>8</v>
      </c>
      <c r="F1357" s="569">
        <v>1</v>
      </c>
      <c r="G1357" s="590">
        <f>1+0.2+0.2</f>
        <v>1.4</v>
      </c>
      <c r="H1357" s="591"/>
      <c r="I1357" s="591">
        <v>0.2</v>
      </c>
      <c r="J1357" s="591">
        <f>PRODUCT(D1357:I1357)</f>
        <v>0.27999999999999997</v>
      </c>
      <c r="K1357" s="592"/>
    </row>
    <row r="1358" spans="1:11">
      <c r="A1358" s="568"/>
      <c r="B1358" s="593" t="s">
        <v>1417</v>
      </c>
      <c r="C1358" s="599"/>
      <c r="D1358" s="578">
        <v>2</v>
      </c>
      <c r="E1358" s="579" t="s">
        <v>8</v>
      </c>
      <c r="F1358" s="569">
        <v>2</v>
      </c>
      <c r="G1358" s="600">
        <v>12.08</v>
      </c>
      <c r="H1358" s="600"/>
      <c r="I1358" s="600">
        <v>0.15</v>
      </c>
      <c r="J1358" s="597">
        <f t="shared" ref="J1358" si="99">PRODUCT(D1358:I1358)</f>
        <v>7.2479999999999993</v>
      </c>
      <c r="K1358" s="592"/>
    </row>
    <row r="1359" spans="1:11">
      <c r="A1359" s="568"/>
      <c r="B1359" s="593"/>
      <c r="C1359" s="589"/>
      <c r="G1359" s="590"/>
      <c r="H1359" s="591"/>
      <c r="I1359" s="591"/>
      <c r="J1359" s="605">
        <f>SUM(J1342:J1358)</f>
        <v>31.921999999999997</v>
      </c>
      <c r="K1359" s="592"/>
    </row>
    <row r="1360" spans="1:11">
      <c r="A1360" s="568"/>
      <c r="B1360" s="593"/>
      <c r="C1360" s="589"/>
      <c r="G1360" s="590"/>
      <c r="H1360" s="591"/>
      <c r="I1360" s="591"/>
      <c r="J1360" s="605">
        <f>ROUNDUP(J1359,0)</f>
        <v>32</v>
      </c>
      <c r="K1360" s="592" t="s">
        <v>9</v>
      </c>
    </row>
    <row r="1361" spans="1:11">
      <c r="A1361" s="568"/>
      <c r="B1361" s="584" t="s">
        <v>618</v>
      </c>
      <c r="C1361" s="577"/>
      <c r="G1361" s="612"/>
      <c r="H1361" s="598"/>
      <c r="I1361" s="598"/>
      <c r="J1361" s="598"/>
      <c r="K1361" s="581"/>
    </row>
    <row r="1362" spans="1:11">
      <c r="A1362" s="568"/>
      <c r="B1362" s="593" t="s">
        <v>584</v>
      </c>
      <c r="C1362" s="577"/>
      <c r="D1362" s="578">
        <v>1</v>
      </c>
      <c r="E1362" s="579" t="s">
        <v>8</v>
      </c>
      <c r="F1362" s="569">
        <v>1</v>
      </c>
      <c r="G1362" s="621">
        <v>4.47</v>
      </c>
      <c r="H1362" s="594">
        <v>0.6</v>
      </c>
      <c r="I1362" s="598"/>
      <c r="J1362" s="598">
        <f t="shared" ref="J1362:J1365" si="100">ROUNDUP(PRODUCT(D1362:I1362),2)</f>
        <v>2.69</v>
      </c>
      <c r="K1362" s="581"/>
    </row>
    <row r="1363" spans="1:11">
      <c r="A1363" s="568"/>
      <c r="B1363" s="593"/>
      <c r="C1363" s="577"/>
      <c r="D1363" s="578">
        <v>1</v>
      </c>
      <c r="E1363" s="579" t="s">
        <v>8</v>
      </c>
      <c r="F1363" s="569">
        <v>1</v>
      </c>
      <c r="G1363" s="621">
        <v>3.5</v>
      </c>
      <c r="H1363" s="594">
        <v>0.6</v>
      </c>
      <c r="I1363" s="598"/>
      <c r="J1363" s="598">
        <f t="shared" si="100"/>
        <v>2.1</v>
      </c>
      <c r="K1363" s="581"/>
    </row>
    <row r="1364" spans="1:11">
      <c r="A1364" s="568"/>
      <c r="B1364" s="593" t="s">
        <v>1102</v>
      </c>
      <c r="C1364" s="577"/>
      <c r="D1364" s="578">
        <v>1</v>
      </c>
      <c r="E1364" s="579" t="s">
        <v>8</v>
      </c>
      <c r="F1364" s="569">
        <v>1</v>
      </c>
      <c r="G1364" s="612">
        <v>2.375</v>
      </c>
      <c r="H1364" s="598">
        <v>0.6</v>
      </c>
      <c r="I1364" s="598"/>
      <c r="J1364" s="598">
        <f t="shared" si="100"/>
        <v>1.43</v>
      </c>
      <c r="K1364" s="581"/>
    </row>
    <row r="1365" spans="1:11">
      <c r="A1365" s="568"/>
      <c r="B1365" s="593" t="s">
        <v>1193</v>
      </c>
      <c r="C1365" s="577"/>
      <c r="D1365" s="578">
        <v>1</v>
      </c>
      <c r="E1365" s="579" t="s">
        <v>8</v>
      </c>
      <c r="F1365" s="569">
        <v>1</v>
      </c>
      <c r="G1365" s="612">
        <v>4.5999999999999996</v>
      </c>
      <c r="H1365" s="598">
        <v>0.6</v>
      </c>
      <c r="I1365" s="598"/>
      <c r="J1365" s="598">
        <f t="shared" si="100"/>
        <v>2.76</v>
      </c>
      <c r="K1365" s="581"/>
    </row>
    <row r="1366" spans="1:11">
      <c r="A1366" s="568"/>
      <c r="B1366" s="593"/>
      <c r="C1366" s="577"/>
      <c r="G1366" s="612"/>
      <c r="H1366" s="598"/>
      <c r="I1366" s="598"/>
      <c r="J1366" s="614">
        <f>SUM(J1362:J1365)</f>
        <v>8.98</v>
      </c>
      <c r="K1366" s="581"/>
    </row>
    <row r="1367" spans="1:11">
      <c r="A1367" s="568"/>
      <c r="B1367" s="622"/>
      <c r="C1367" s="577"/>
      <c r="G1367" s="612"/>
      <c r="H1367" s="598"/>
      <c r="I1367" s="598"/>
      <c r="J1367" s="605">
        <f>ROUNDUP(J1366,0)</f>
        <v>9</v>
      </c>
      <c r="K1367" s="592" t="s">
        <v>9</v>
      </c>
    </row>
    <row r="1368" spans="1:11">
      <c r="A1368" s="568"/>
      <c r="B1368" s="572" t="s">
        <v>58</v>
      </c>
      <c r="C1368" s="589"/>
      <c r="G1368" s="590"/>
      <c r="H1368" s="591"/>
      <c r="I1368" s="591"/>
      <c r="J1368" s="605">
        <f>J1360+J1339+J1323+J1300+J1367</f>
        <v>1376</v>
      </c>
      <c r="K1368" s="592" t="s">
        <v>9</v>
      </c>
    </row>
    <row r="1369" spans="1:11">
      <c r="A1369" s="568"/>
      <c r="B1369" s="572"/>
      <c r="C1369" s="589"/>
      <c r="G1369" s="590"/>
      <c r="H1369" s="591"/>
      <c r="I1369" s="591"/>
      <c r="J1369" s="605"/>
      <c r="K1369" s="592"/>
    </row>
    <row r="1370" spans="1:11">
      <c r="A1370" s="568"/>
      <c r="B1370" s="584" t="s">
        <v>20</v>
      </c>
      <c r="C1370" s="589"/>
      <c r="G1370" s="590"/>
      <c r="H1370" s="591"/>
      <c r="I1370" s="591"/>
      <c r="J1370" s="591"/>
      <c r="K1370" s="592"/>
    </row>
    <row r="1371" spans="1:11">
      <c r="A1371" s="568"/>
      <c r="B1371" s="593" t="s">
        <v>616</v>
      </c>
      <c r="C1371" s="589"/>
      <c r="G1371" s="616"/>
      <c r="H1371" s="617"/>
      <c r="I1371" s="617"/>
      <c r="J1371" s="617"/>
      <c r="K1371" s="592"/>
    </row>
    <row r="1372" spans="1:11">
      <c r="A1372" s="568"/>
      <c r="B1372" s="593" t="s">
        <v>1022</v>
      </c>
      <c r="C1372" s="589" t="s">
        <v>1130</v>
      </c>
      <c r="D1372" s="578">
        <v>2</v>
      </c>
      <c r="E1372" s="579" t="s">
        <v>8</v>
      </c>
      <c r="F1372" s="569">
        <v>1</v>
      </c>
      <c r="G1372" s="590">
        <v>27.9</v>
      </c>
      <c r="H1372" s="591"/>
      <c r="I1372" s="591">
        <v>0.75</v>
      </c>
      <c r="J1372" s="591">
        <f t="shared" ref="J1372:J1435" si="101">PRODUCT(D1372:I1372)</f>
        <v>41.849999999999994</v>
      </c>
      <c r="K1372" s="592"/>
    </row>
    <row r="1373" spans="1:11">
      <c r="A1373" s="568"/>
      <c r="B1373" s="593"/>
      <c r="C1373" s="589" t="s">
        <v>1130</v>
      </c>
      <c r="D1373" s="578">
        <v>1</v>
      </c>
      <c r="E1373" s="579" t="s">
        <v>8</v>
      </c>
      <c r="F1373" s="569">
        <v>1</v>
      </c>
      <c r="G1373" s="590">
        <v>27.9</v>
      </c>
      <c r="H1373" s="591">
        <v>0.3</v>
      </c>
      <c r="I1373" s="591"/>
      <c r="J1373" s="591">
        <f t="shared" si="101"/>
        <v>8.3699999999999992</v>
      </c>
      <c r="K1373" s="592"/>
    </row>
    <row r="1374" spans="1:11">
      <c r="A1374" s="568"/>
      <c r="B1374" s="593" t="s">
        <v>1022</v>
      </c>
      <c r="C1374" s="589"/>
      <c r="D1374" s="578">
        <v>2</v>
      </c>
      <c r="E1374" s="579" t="s">
        <v>8</v>
      </c>
      <c r="F1374" s="569">
        <v>1</v>
      </c>
      <c r="G1374" s="590">
        <v>5.2750000000000004</v>
      </c>
      <c r="H1374" s="591"/>
      <c r="I1374" s="591">
        <v>0.6</v>
      </c>
      <c r="J1374" s="591">
        <f t="shared" si="101"/>
        <v>6.33</v>
      </c>
      <c r="K1374" s="592"/>
    </row>
    <row r="1375" spans="1:11">
      <c r="A1375" s="568"/>
      <c r="B1375" s="593"/>
      <c r="C1375" s="589"/>
      <c r="D1375" s="578">
        <v>1</v>
      </c>
      <c r="E1375" s="579" t="s">
        <v>8</v>
      </c>
      <c r="F1375" s="569">
        <v>1</v>
      </c>
      <c r="G1375" s="590">
        <v>5.2750000000000004</v>
      </c>
      <c r="H1375" s="591">
        <v>0.2</v>
      </c>
      <c r="I1375" s="591"/>
      <c r="J1375" s="591">
        <f t="shared" si="101"/>
        <v>1.0550000000000002</v>
      </c>
      <c r="K1375" s="592"/>
    </row>
    <row r="1376" spans="1:11">
      <c r="A1376" s="568"/>
      <c r="B1376" s="593" t="s">
        <v>1131</v>
      </c>
      <c r="C1376" s="589" t="s">
        <v>1132</v>
      </c>
      <c r="D1376" s="578">
        <v>2</v>
      </c>
      <c r="E1376" s="579" t="s">
        <v>8</v>
      </c>
      <c r="F1376" s="569">
        <v>1</v>
      </c>
      <c r="G1376" s="590">
        <v>1.8</v>
      </c>
      <c r="H1376" s="591"/>
      <c r="I1376" s="591">
        <v>0.45</v>
      </c>
      <c r="J1376" s="591">
        <f t="shared" si="101"/>
        <v>1.62</v>
      </c>
      <c r="K1376" s="592"/>
    </row>
    <row r="1377" spans="1:11">
      <c r="A1377" s="568"/>
      <c r="B1377" s="593"/>
      <c r="C1377" s="589" t="s">
        <v>1132</v>
      </c>
      <c r="D1377" s="578">
        <v>1</v>
      </c>
      <c r="E1377" s="579" t="s">
        <v>8</v>
      </c>
      <c r="F1377" s="569">
        <v>1</v>
      </c>
      <c r="G1377" s="590">
        <v>1.8</v>
      </c>
      <c r="H1377" s="591">
        <v>0.2</v>
      </c>
      <c r="I1377" s="591"/>
      <c r="J1377" s="591">
        <f t="shared" si="101"/>
        <v>0.36000000000000004</v>
      </c>
      <c r="K1377" s="592"/>
    </row>
    <row r="1378" spans="1:11">
      <c r="A1378" s="568"/>
      <c r="B1378" s="593" t="s">
        <v>1131</v>
      </c>
      <c r="C1378" s="589" t="s">
        <v>1133</v>
      </c>
      <c r="D1378" s="578">
        <v>2</v>
      </c>
      <c r="E1378" s="579" t="s">
        <v>8</v>
      </c>
      <c r="F1378" s="569">
        <v>1</v>
      </c>
      <c r="G1378" s="590">
        <v>3.875</v>
      </c>
      <c r="H1378" s="591"/>
      <c r="I1378" s="591">
        <v>0.45</v>
      </c>
      <c r="J1378" s="591">
        <f t="shared" si="101"/>
        <v>3.4875000000000003</v>
      </c>
      <c r="K1378" s="592"/>
    </row>
    <row r="1379" spans="1:11">
      <c r="A1379" s="568"/>
      <c r="B1379" s="593"/>
      <c r="C1379" s="589" t="s">
        <v>1133</v>
      </c>
      <c r="D1379" s="578">
        <v>1</v>
      </c>
      <c r="E1379" s="579" t="s">
        <v>8</v>
      </c>
      <c r="F1379" s="569">
        <v>1</v>
      </c>
      <c r="G1379" s="590">
        <v>3.875</v>
      </c>
      <c r="H1379" s="591">
        <v>0.2</v>
      </c>
      <c r="I1379" s="591"/>
      <c r="J1379" s="591">
        <f t="shared" si="101"/>
        <v>0.77500000000000002</v>
      </c>
      <c r="K1379" s="592"/>
    </row>
    <row r="1380" spans="1:11">
      <c r="A1380" s="568"/>
      <c r="B1380" s="593" t="s">
        <v>1134</v>
      </c>
      <c r="C1380" s="589" t="s">
        <v>1135</v>
      </c>
      <c r="D1380" s="578">
        <v>2</v>
      </c>
      <c r="E1380" s="579" t="s">
        <v>8</v>
      </c>
      <c r="F1380" s="569">
        <v>1</v>
      </c>
      <c r="G1380" s="590">
        <v>4.2300000000000004</v>
      </c>
      <c r="H1380" s="591"/>
      <c r="I1380" s="591">
        <v>0.75</v>
      </c>
      <c r="J1380" s="591">
        <f t="shared" si="101"/>
        <v>6.3450000000000006</v>
      </c>
      <c r="K1380" s="592"/>
    </row>
    <row r="1381" spans="1:11">
      <c r="A1381" s="568"/>
      <c r="B1381" s="593"/>
      <c r="C1381" s="589" t="s">
        <v>1135</v>
      </c>
      <c r="D1381" s="578">
        <v>1</v>
      </c>
      <c r="E1381" s="579" t="s">
        <v>8</v>
      </c>
      <c r="F1381" s="569">
        <v>1</v>
      </c>
      <c r="G1381" s="590">
        <v>4.2300000000000004</v>
      </c>
      <c r="H1381" s="591">
        <v>0.3</v>
      </c>
      <c r="I1381" s="591"/>
      <c r="J1381" s="591">
        <f t="shared" si="101"/>
        <v>1.2690000000000001</v>
      </c>
      <c r="K1381" s="592"/>
    </row>
    <row r="1382" spans="1:11">
      <c r="A1382" s="568"/>
      <c r="B1382" s="593" t="s">
        <v>1023</v>
      </c>
      <c r="C1382" s="589" t="s">
        <v>1136</v>
      </c>
      <c r="D1382" s="578">
        <v>2</v>
      </c>
      <c r="E1382" s="579" t="s">
        <v>8</v>
      </c>
      <c r="F1382" s="569">
        <v>1</v>
      </c>
      <c r="G1382" s="590">
        <v>7.95</v>
      </c>
      <c r="H1382" s="591"/>
      <c r="I1382" s="591">
        <v>0.75</v>
      </c>
      <c r="J1382" s="591">
        <f t="shared" si="101"/>
        <v>11.925000000000001</v>
      </c>
      <c r="K1382" s="592"/>
    </row>
    <row r="1383" spans="1:11">
      <c r="A1383" s="568"/>
      <c r="B1383" s="593"/>
      <c r="C1383" s="589" t="s">
        <v>1136</v>
      </c>
      <c r="D1383" s="578">
        <v>1</v>
      </c>
      <c r="E1383" s="579" t="s">
        <v>8</v>
      </c>
      <c r="F1383" s="569">
        <v>1</v>
      </c>
      <c r="G1383" s="590">
        <v>7.95</v>
      </c>
      <c r="H1383" s="591">
        <v>0.3</v>
      </c>
      <c r="I1383" s="591"/>
      <c r="J1383" s="591">
        <f t="shared" si="101"/>
        <v>2.3849999999999998</v>
      </c>
      <c r="K1383" s="592"/>
    </row>
    <row r="1384" spans="1:11">
      <c r="A1384" s="568"/>
      <c r="B1384" s="593" t="s">
        <v>1028</v>
      </c>
      <c r="C1384" s="589" t="s">
        <v>1137</v>
      </c>
      <c r="D1384" s="578">
        <v>2</v>
      </c>
      <c r="E1384" s="579" t="s">
        <v>8</v>
      </c>
      <c r="F1384" s="569">
        <v>3</v>
      </c>
      <c r="G1384" s="590">
        <v>5.0750000000000002</v>
      </c>
      <c r="H1384" s="591"/>
      <c r="I1384" s="591">
        <v>0.6</v>
      </c>
      <c r="J1384" s="591">
        <f t="shared" si="101"/>
        <v>18.27</v>
      </c>
      <c r="K1384" s="592"/>
    </row>
    <row r="1385" spans="1:11">
      <c r="A1385" s="568"/>
      <c r="B1385" s="593"/>
      <c r="C1385" s="589" t="s">
        <v>1137</v>
      </c>
      <c r="D1385" s="578">
        <v>1</v>
      </c>
      <c r="E1385" s="579" t="s">
        <v>8</v>
      </c>
      <c r="F1385" s="569">
        <v>3</v>
      </c>
      <c r="G1385" s="590">
        <v>5.0750000000000002</v>
      </c>
      <c r="H1385" s="591">
        <v>0.2</v>
      </c>
      <c r="I1385" s="591"/>
      <c r="J1385" s="591">
        <f t="shared" si="101"/>
        <v>3.0450000000000004</v>
      </c>
      <c r="K1385" s="592"/>
    </row>
    <row r="1386" spans="1:11">
      <c r="A1386" s="568"/>
      <c r="B1386" s="593"/>
      <c r="C1386" s="589" t="s">
        <v>1138</v>
      </c>
      <c r="D1386" s="578">
        <v>2</v>
      </c>
      <c r="E1386" s="579" t="s">
        <v>8</v>
      </c>
      <c r="F1386" s="569">
        <v>6</v>
      </c>
      <c r="G1386" s="590">
        <v>1.1000000000000001</v>
      </c>
      <c r="H1386" s="591"/>
      <c r="I1386" s="591">
        <v>0.45</v>
      </c>
      <c r="J1386" s="591">
        <f t="shared" si="101"/>
        <v>5.94</v>
      </c>
      <c r="K1386" s="592"/>
    </row>
    <row r="1387" spans="1:11">
      <c r="A1387" s="568"/>
      <c r="B1387" s="593"/>
      <c r="C1387" s="589" t="s">
        <v>1138</v>
      </c>
      <c r="D1387" s="578">
        <v>1</v>
      </c>
      <c r="E1387" s="579" t="s">
        <v>8</v>
      </c>
      <c r="F1387" s="569">
        <v>6</v>
      </c>
      <c r="G1387" s="590">
        <v>1.1000000000000001</v>
      </c>
      <c r="H1387" s="591">
        <v>0.2</v>
      </c>
      <c r="I1387" s="591"/>
      <c r="J1387" s="591">
        <f t="shared" si="101"/>
        <v>1.3200000000000003</v>
      </c>
      <c r="K1387" s="592"/>
    </row>
    <row r="1388" spans="1:11">
      <c r="A1388" s="568"/>
      <c r="B1388" s="593"/>
      <c r="C1388" s="589" t="s">
        <v>1139</v>
      </c>
      <c r="D1388" s="578">
        <v>2</v>
      </c>
      <c r="E1388" s="579" t="s">
        <v>8</v>
      </c>
      <c r="F1388" s="569">
        <v>7</v>
      </c>
      <c r="G1388" s="590">
        <v>2.2999999999999998</v>
      </c>
      <c r="H1388" s="591"/>
      <c r="I1388" s="591">
        <v>0.45</v>
      </c>
      <c r="J1388" s="591">
        <f t="shared" si="101"/>
        <v>14.489999999999998</v>
      </c>
      <c r="K1388" s="592"/>
    </row>
    <row r="1389" spans="1:11">
      <c r="A1389" s="568"/>
      <c r="B1389" s="593"/>
      <c r="C1389" s="589" t="s">
        <v>1139</v>
      </c>
      <c r="D1389" s="578">
        <v>1</v>
      </c>
      <c r="E1389" s="579" t="s">
        <v>8</v>
      </c>
      <c r="F1389" s="569">
        <v>7</v>
      </c>
      <c r="G1389" s="590">
        <v>2.2999999999999998</v>
      </c>
      <c r="H1389" s="591">
        <v>0.2</v>
      </c>
      <c r="I1389" s="591"/>
      <c r="J1389" s="591">
        <f t="shared" si="101"/>
        <v>3.2199999999999998</v>
      </c>
      <c r="K1389" s="592"/>
    </row>
    <row r="1390" spans="1:11">
      <c r="A1390" s="568"/>
      <c r="B1390" s="593"/>
      <c r="C1390" s="589" t="s">
        <v>1140</v>
      </c>
      <c r="D1390" s="578">
        <v>2</v>
      </c>
      <c r="E1390" s="579" t="s">
        <v>8</v>
      </c>
      <c r="F1390" s="569">
        <v>1</v>
      </c>
      <c r="G1390" s="590">
        <v>5.3</v>
      </c>
      <c r="H1390" s="591"/>
      <c r="I1390" s="591">
        <v>0.75</v>
      </c>
      <c r="J1390" s="591">
        <f t="shared" si="101"/>
        <v>7.9499999999999993</v>
      </c>
      <c r="K1390" s="592"/>
    </row>
    <row r="1391" spans="1:11">
      <c r="A1391" s="568"/>
      <c r="B1391" s="593"/>
      <c r="C1391" s="589" t="s">
        <v>1140</v>
      </c>
      <c r="D1391" s="578">
        <v>1</v>
      </c>
      <c r="E1391" s="579" t="s">
        <v>8</v>
      </c>
      <c r="F1391" s="569">
        <v>1</v>
      </c>
      <c r="G1391" s="590">
        <v>5.3</v>
      </c>
      <c r="H1391" s="591">
        <v>0.2</v>
      </c>
      <c r="I1391" s="591"/>
      <c r="J1391" s="591">
        <f t="shared" si="101"/>
        <v>1.06</v>
      </c>
      <c r="K1391" s="592"/>
    </row>
    <row r="1392" spans="1:11">
      <c r="A1392" s="568"/>
      <c r="B1392" s="593"/>
      <c r="C1392" s="589" t="s">
        <v>1141</v>
      </c>
      <c r="D1392" s="578">
        <v>2</v>
      </c>
      <c r="E1392" s="579" t="s">
        <v>8</v>
      </c>
      <c r="F1392" s="569">
        <v>1</v>
      </c>
      <c r="G1392" s="590">
        <v>6.2</v>
      </c>
      <c r="H1392" s="591"/>
      <c r="I1392" s="591">
        <v>0.75</v>
      </c>
      <c r="J1392" s="591">
        <f t="shared" si="101"/>
        <v>9.3000000000000007</v>
      </c>
      <c r="K1392" s="592"/>
    </row>
    <row r="1393" spans="1:11">
      <c r="A1393" s="568"/>
      <c r="B1393" s="593"/>
      <c r="C1393" s="589" t="s">
        <v>1141</v>
      </c>
      <c r="D1393" s="578">
        <v>1</v>
      </c>
      <c r="E1393" s="579" t="s">
        <v>8</v>
      </c>
      <c r="F1393" s="569">
        <v>1</v>
      </c>
      <c r="G1393" s="590">
        <v>6.2</v>
      </c>
      <c r="H1393" s="591">
        <v>0.2</v>
      </c>
      <c r="I1393" s="591"/>
      <c r="J1393" s="591">
        <f t="shared" si="101"/>
        <v>1.2400000000000002</v>
      </c>
      <c r="K1393" s="592"/>
    </row>
    <row r="1394" spans="1:11">
      <c r="A1394" s="568"/>
      <c r="B1394" s="593"/>
      <c r="C1394" s="589" t="s">
        <v>1142</v>
      </c>
      <c r="D1394" s="578">
        <v>2</v>
      </c>
      <c r="E1394" s="579" t="s">
        <v>8</v>
      </c>
      <c r="F1394" s="569">
        <v>1</v>
      </c>
      <c r="G1394" s="590">
        <v>3.2</v>
      </c>
      <c r="H1394" s="591"/>
      <c r="I1394" s="591">
        <v>0.6</v>
      </c>
      <c r="J1394" s="591">
        <f t="shared" si="101"/>
        <v>3.84</v>
      </c>
      <c r="K1394" s="592"/>
    </row>
    <row r="1395" spans="1:11">
      <c r="A1395" s="568"/>
      <c r="B1395" s="593"/>
      <c r="C1395" s="589" t="s">
        <v>1142</v>
      </c>
      <c r="D1395" s="578">
        <v>1</v>
      </c>
      <c r="E1395" s="579" t="s">
        <v>8</v>
      </c>
      <c r="F1395" s="569">
        <v>1</v>
      </c>
      <c r="G1395" s="590">
        <v>3.2</v>
      </c>
      <c r="H1395" s="591">
        <v>0.2</v>
      </c>
      <c r="I1395" s="591"/>
      <c r="J1395" s="591">
        <f t="shared" si="101"/>
        <v>0.64000000000000012</v>
      </c>
      <c r="K1395" s="592"/>
    </row>
    <row r="1396" spans="1:11">
      <c r="A1396" s="568"/>
      <c r="B1396" s="593"/>
      <c r="C1396" s="589" t="s">
        <v>1142</v>
      </c>
      <c r="D1396" s="578">
        <v>2</v>
      </c>
      <c r="E1396" s="579" t="s">
        <v>8</v>
      </c>
      <c r="F1396" s="569">
        <v>1</v>
      </c>
      <c r="G1396" s="590">
        <v>3.2</v>
      </c>
      <c r="H1396" s="591"/>
      <c r="I1396" s="591">
        <v>0.6</v>
      </c>
      <c r="J1396" s="591">
        <f t="shared" si="101"/>
        <v>3.84</v>
      </c>
      <c r="K1396" s="592"/>
    </row>
    <row r="1397" spans="1:11">
      <c r="A1397" s="568"/>
      <c r="B1397" s="593"/>
      <c r="C1397" s="589" t="s">
        <v>1142</v>
      </c>
      <c r="D1397" s="578">
        <v>1</v>
      </c>
      <c r="E1397" s="579" t="s">
        <v>8</v>
      </c>
      <c r="F1397" s="569">
        <v>1</v>
      </c>
      <c r="G1397" s="590">
        <v>3.2</v>
      </c>
      <c r="H1397" s="591">
        <v>0.2</v>
      </c>
      <c r="I1397" s="591"/>
      <c r="J1397" s="591">
        <f t="shared" si="101"/>
        <v>0.64000000000000012</v>
      </c>
      <c r="K1397" s="592"/>
    </row>
    <row r="1398" spans="1:11">
      <c r="A1398" s="568"/>
      <c r="B1398" s="593" t="s">
        <v>1030</v>
      </c>
      <c r="C1398" s="589" t="s">
        <v>1143</v>
      </c>
      <c r="D1398" s="578">
        <v>2</v>
      </c>
      <c r="E1398" s="579" t="s">
        <v>8</v>
      </c>
      <c r="F1398" s="569">
        <v>1</v>
      </c>
      <c r="G1398" s="590">
        <v>20.408999999999999</v>
      </c>
      <c r="H1398" s="591"/>
      <c r="I1398" s="591">
        <v>0.375</v>
      </c>
      <c r="J1398" s="591">
        <f t="shared" si="101"/>
        <v>15.306749999999999</v>
      </c>
      <c r="K1398" s="592"/>
    </row>
    <row r="1399" spans="1:11">
      <c r="A1399" s="568"/>
      <c r="B1399" s="593"/>
      <c r="C1399" s="589" t="s">
        <v>1143</v>
      </c>
      <c r="D1399" s="578">
        <v>1</v>
      </c>
      <c r="E1399" s="579" t="s">
        <v>8</v>
      </c>
      <c r="F1399" s="569">
        <v>1</v>
      </c>
      <c r="G1399" s="590">
        <v>20.408999999999999</v>
      </c>
      <c r="H1399" s="591">
        <v>0.2</v>
      </c>
      <c r="I1399" s="591"/>
      <c r="J1399" s="591">
        <f t="shared" si="101"/>
        <v>4.0818000000000003</v>
      </c>
      <c r="K1399" s="592"/>
    </row>
    <row r="1400" spans="1:11">
      <c r="A1400" s="568"/>
      <c r="B1400" s="593" t="s">
        <v>577</v>
      </c>
      <c r="C1400" s="589" t="s">
        <v>1144</v>
      </c>
      <c r="D1400" s="578">
        <v>2</v>
      </c>
      <c r="E1400" s="579" t="s">
        <v>8</v>
      </c>
      <c r="F1400" s="569">
        <v>1</v>
      </c>
      <c r="G1400" s="590">
        <v>20.408999999999999</v>
      </c>
      <c r="H1400" s="591"/>
      <c r="I1400" s="591">
        <v>0.45</v>
      </c>
      <c r="J1400" s="591">
        <f t="shared" si="101"/>
        <v>18.368099999999998</v>
      </c>
      <c r="K1400" s="592"/>
    </row>
    <row r="1401" spans="1:11">
      <c r="A1401" s="568"/>
      <c r="B1401" s="593"/>
      <c r="C1401" s="589" t="s">
        <v>1144</v>
      </c>
      <c r="D1401" s="578">
        <v>1</v>
      </c>
      <c r="E1401" s="579" t="s">
        <v>8</v>
      </c>
      <c r="F1401" s="569">
        <v>1</v>
      </c>
      <c r="G1401" s="590">
        <v>20.408999999999999</v>
      </c>
      <c r="H1401" s="591">
        <v>0.2</v>
      </c>
      <c r="I1401" s="591"/>
      <c r="J1401" s="591">
        <f t="shared" si="101"/>
        <v>4.0818000000000003</v>
      </c>
      <c r="K1401" s="592"/>
    </row>
    <row r="1402" spans="1:11">
      <c r="A1402" s="568"/>
      <c r="B1402" s="593"/>
      <c r="C1402" s="589" t="s">
        <v>1145</v>
      </c>
      <c r="D1402" s="578">
        <v>2</v>
      </c>
      <c r="E1402" s="579" t="s">
        <v>8</v>
      </c>
      <c r="F1402" s="569">
        <v>1</v>
      </c>
      <c r="G1402" s="590">
        <v>7.3</v>
      </c>
      <c r="H1402" s="591"/>
      <c r="I1402" s="591">
        <v>0.75</v>
      </c>
      <c r="J1402" s="591">
        <f t="shared" si="101"/>
        <v>10.95</v>
      </c>
      <c r="K1402" s="592"/>
    </row>
    <row r="1403" spans="1:11">
      <c r="A1403" s="568"/>
      <c r="B1403" s="593"/>
      <c r="C1403" s="589" t="s">
        <v>1145</v>
      </c>
      <c r="D1403" s="578">
        <v>1</v>
      </c>
      <c r="E1403" s="579" t="s">
        <v>8</v>
      </c>
      <c r="F1403" s="569">
        <v>1</v>
      </c>
      <c r="G1403" s="590">
        <v>7.3</v>
      </c>
      <c r="H1403" s="591">
        <v>0.2</v>
      </c>
      <c r="I1403" s="591"/>
      <c r="J1403" s="591">
        <f t="shared" si="101"/>
        <v>1.46</v>
      </c>
      <c r="K1403" s="592"/>
    </row>
    <row r="1404" spans="1:11">
      <c r="A1404" s="568"/>
      <c r="B1404" s="593" t="s">
        <v>574</v>
      </c>
      <c r="C1404" s="589" t="s">
        <v>1146</v>
      </c>
      <c r="D1404" s="578">
        <v>2</v>
      </c>
      <c r="E1404" s="579" t="s">
        <v>8</v>
      </c>
      <c r="F1404" s="569">
        <v>1</v>
      </c>
      <c r="G1404" s="590">
        <v>20.408999999999999</v>
      </c>
      <c r="H1404" s="591"/>
      <c r="I1404" s="591">
        <v>0.45</v>
      </c>
      <c r="J1404" s="591">
        <f t="shared" si="101"/>
        <v>18.368099999999998</v>
      </c>
      <c r="K1404" s="592"/>
    </row>
    <row r="1405" spans="1:11">
      <c r="A1405" s="568"/>
      <c r="B1405" s="593"/>
      <c r="C1405" s="589" t="s">
        <v>1146</v>
      </c>
      <c r="D1405" s="578">
        <v>1</v>
      </c>
      <c r="E1405" s="579" t="s">
        <v>8</v>
      </c>
      <c r="F1405" s="569">
        <v>1</v>
      </c>
      <c r="G1405" s="590">
        <v>20.408999999999999</v>
      </c>
      <c r="H1405" s="591">
        <v>0.2</v>
      </c>
      <c r="I1405" s="591"/>
      <c r="J1405" s="591">
        <f t="shared" si="101"/>
        <v>4.0818000000000003</v>
      </c>
      <c r="K1405" s="592"/>
    </row>
    <row r="1406" spans="1:11">
      <c r="A1406" s="568"/>
      <c r="B1406" s="593" t="s">
        <v>491</v>
      </c>
      <c r="C1406" s="589" t="s">
        <v>1147</v>
      </c>
      <c r="D1406" s="578">
        <v>2</v>
      </c>
      <c r="E1406" s="579" t="s">
        <v>8</v>
      </c>
      <c r="F1406" s="569">
        <v>1</v>
      </c>
      <c r="G1406" s="590">
        <v>1.9</v>
      </c>
      <c r="H1406" s="591"/>
      <c r="I1406" s="591">
        <v>0.45</v>
      </c>
      <c r="J1406" s="591">
        <f t="shared" si="101"/>
        <v>1.71</v>
      </c>
      <c r="K1406" s="592"/>
    </row>
    <row r="1407" spans="1:11">
      <c r="A1407" s="568"/>
      <c r="B1407" s="593"/>
      <c r="C1407" s="589" t="s">
        <v>1147</v>
      </c>
      <c r="D1407" s="578">
        <v>1</v>
      </c>
      <c r="E1407" s="579" t="s">
        <v>8</v>
      </c>
      <c r="F1407" s="569">
        <v>1</v>
      </c>
      <c r="G1407" s="590">
        <v>1.9</v>
      </c>
      <c r="H1407" s="591">
        <v>0.2</v>
      </c>
      <c r="I1407" s="591"/>
      <c r="J1407" s="591">
        <f t="shared" si="101"/>
        <v>0.38</v>
      </c>
      <c r="K1407" s="592"/>
    </row>
    <row r="1408" spans="1:11">
      <c r="A1408" s="568"/>
      <c r="B1408" s="593"/>
      <c r="C1408" s="589" t="s">
        <v>1147</v>
      </c>
      <c r="D1408" s="578">
        <v>2</v>
      </c>
      <c r="E1408" s="579" t="s">
        <v>8</v>
      </c>
      <c r="F1408" s="569">
        <v>1</v>
      </c>
      <c r="G1408" s="590">
        <v>6.6</v>
      </c>
      <c r="H1408" s="591"/>
      <c r="I1408" s="591">
        <v>0.6</v>
      </c>
      <c r="J1408" s="591">
        <f t="shared" si="101"/>
        <v>7.919999999999999</v>
      </c>
      <c r="K1408" s="592"/>
    </row>
    <row r="1409" spans="1:11">
      <c r="A1409" s="568"/>
      <c r="B1409" s="593"/>
      <c r="C1409" s="589" t="s">
        <v>1147</v>
      </c>
      <c r="D1409" s="578">
        <v>1</v>
      </c>
      <c r="E1409" s="579" t="s">
        <v>8</v>
      </c>
      <c r="F1409" s="569">
        <v>1</v>
      </c>
      <c r="G1409" s="590">
        <v>6.6</v>
      </c>
      <c r="H1409" s="591">
        <v>0.2</v>
      </c>
      <c r="I1409" s="591"/>
      <c r="J1409" s="591">
        <f t="shared" si="101"/>
        <v>1.32</v>
      </c>
      <c r="K1409" s="592"/>
    </row>
    <row r="1410" spans="1:11">
      <c r="A1410" s="568"/>
      <c r="B1410" s="593" t="s">
        <v>547</v>
      </c>
      <c r="C1410" s="589" t="s">
        <v>1148</v>
      </c>
      <c r="D1410" s="578">
        <v>2</v>
      </c>
      <c r="E1410" s="579" t="s">
        <v>8</v>
      </c>
      <c r="F1410" s="569">
        <v>1</v>
      </c>
      <c r="G1410" s="590">
        <v>3.7</v>
      </c>
      <c r="H1410" s="591"/>
      <c r="I1410" s="591">
        <v>0.45</v>
      </c>
      <c r="J1410" s="591">
        <f t="shared" si="101"/>
        <v>3.33</v>
      </c>
      <c r="K1410" s="592"/>
    </row>
    <row r="1411" spans="1:11">
      <c r="A1411" s="568"/>
      <c r="B1411" s="593"/>
      <c r="C1411" s="589" t="s">
        <v>1148</v>
      </c>
      <c r="D1411" s="578">
        <v>1</v>
      </c>
      <c r="E1411" s="579" t="s">
        <v>8</v>
      </c>
      <c r="F1411" s="569">
        <v>1</v>
      </c>
      <c r="G1411" s="590">
        <v>3.7</v>
      </c>
      <c r="H1411" s="591">
        <v>0.2</v>
      </c>
      <c r="I1411" s="591"/>
      <c r="J1411" s="591">
        <f t="shared" si="101"/>
        <v>0.7400000000000001</v>
      </c>
      <c r="K1411" s="592"/>
    </row>
    <row r="1412" spans="1:11">
      <c r="A1412" s="568"/>
      <c r="B1412" s="593"/>
      <c r="C1412" s="589" t="s">
        <v>1149</v>
      </c>
      <c r="D1412" s="578">
        <v>2</v>
      </c>
      <c r="E1412" s="579" t="s">
        <v>8</v>
      </c>
      <c r="F1412" s="569">
        <v>1</v>
      </c>
      <c r="G1412" s="590">
        <v>3.7</v>
      </c>
      <c r="H1412" s="591"/>
      <c r="I1412" s="591">
        <v>0.45</v>
      </c>
      <c r="J1412" s="591">
        <f t="shared" si="101"/>
        <v>3.33</v>
      </c>
      <c r="K1412" s="592"/>
    </row>
    <row r="1413" spans="1:11">
      <c r="A1413" s="568"/>
      <c r="B1413" s="593"/>
      <c r="C1413" s="589" t="s">
        <v>1149</v>
      </c>
      <c r="D1413" s="578">
        <v>1</v>
      </c>
      <c r="E1413" s="579" t="s">
        <v>8</v>
      </c>
      <c r="F1413" s="569">
        <v>1</v>
      </c>
      <c r="G1413" s="590">
        <v>3.7</v>
      </c>
      <c r="H1413" s="591">
        <v>0.2</v>
      </c>
      <c r="I1413" s="591"/>
      <c r="J1413" s="591">
        <f t="shared" si="101"/>
        <v>0.7400000000000001</v>
      </c>
      <c r="K1413" s="592"/>
    </row>
    <row r="1414" spans="1:11">
      <c r="A1414" s="568"/>
      <c r="B1414" s="593" t="s">
        <v>548</v>
      </c>
      <c r="C1414" s="589" t="s">
        <v>1150</v>
      </c>
      <c r="D1414" s="578">
        <v>2</v>
      </c>
      <c r="E1414" s="579" t="s">
        <v>8</v>
      </c>
      <c r="F1414" s="569">
        <v>1</v>
      </c>
      <c r="G1414" s="590">
        <v>1.7</v>
      </c>
      <c r="H1414" s="591"/>
      <c r="I1414" s="591">
        <v>0.375</v>
      </c>
      <c r="J1414" s="591">
        <f t="shared" si="101"/>
        <v>1.2749999999999999</v>
      </c>
      <c r="K1414" s="592"/>
    </row>
    <row r="1415" spans="1:11">
      <c r="A1415" s="568"/>
      <c r="B1415" s="593"/>
      <c r="C1415" s="589" t="s">
        <v>1150</v>
      </c>
      <c r="D1415" s="578">
        <v>1</v>
      </c>
      <c r="E1415" s="579" t="s">
        <v>8</v>
      </c>
      <c r="F1415" s="569">
        <v>1</v>
      </c>
      <c r="G1415" s="590">
        <v>1.7</v>
      </c>
      <c r="H1415" s="591">
        <v>0.2</v>
      </c>
      <c r="I1415" s="591"/>
      <c r="J1415" s="591">
        <f t="shared" si="101"/>
        <v>0.34</v>
      </c>
      <c r="K1415" s="592"/>
    </row>
    <row r="1416" spans="1:11">
      <c r="A1416" s="568"/>
      <c r="B1416" s="593"/>
      <c r="C1416" s="589" t="s">
        <v>1150</v>
      </c>
      <c r="D1416" s="578">
        <v>2</v>
      </c>
      <c r="E1416" s="579" t="s">
        <v>8</v>
      </c>
      <c r="F1416" s="569">
        <v>1</v>
      </c>
      <c r="G1416" s="590">
        <v>6.8</v>
      </c>
      <c r="H1416" s="591"/>
      <c r="I1416" s="591">
        <v>0.6</v>
      </c>
      <c r="J1416" s="591">
        <f t="shared" si="101"/>
        <v>8.16</v>
      </c>
      <c r="K1416" s="592"/>
    </row>
    <row r="1417" spans="1:11">
      <c r="A1417" s="568"/>
      <c r="B1417" s="593"/>
      <c r="C1417" s="589" t="s">
        <v>1150</v>
      </c>
      <c r="D1417" s="578">
        <v>1</v>
      </c>
      <c r="E1417" s="579" t="s">
        <v>8</v>
      </c>
      <c r="F1417" s="569">
        <v>1</v>
      </c>
      <c r="G1417" s="590">
        <v>6.8</v>
      </c>
      <c r="H1417" s="591">
        <v>0.2</v>
      </c>
      <c r="I1417" s="591"/>
      <c r="J1417" s="591">
        <f t="shared" si="101"/>
        <v>1.36</v>
      </c>
      <c r="K1417" s="592"/>
    </row>
    <row r="1418" spans="1:11">
      <c r="A1418" s="568"/>
      <c r="B1418" s="593" t="s">
        <v>583</v>
      </c>
      <c r="C1418" s="589" t="s">
        <v>1151</v>
      </c>
      <c r="D1418" s="578">
        <v>2</v>
      </c>
      <c r="E1418" s="579" t="s">
        <v>8</v>
      </c>
      <c r="F1418" s="569">
        <v>1</v>
      </c>
      <c r="G1418" s="590">
        <v>24.375</v>
      </c>
      <c r="H1418" s="591"/>
      <c r="I1418" s="591">
        <v>0.45</v>
      </c>
      <c r="J1418" s="591">
        <f t="shared" si="101"/>
        <v>21.9375</v>
      </c>
      <c r="K1418" s="592"/>
    </row>
    <row r="1419" spans="1:11">
      <c r="A1419" s="568"/>
      <c r="B1419" s="593"/>
      <c r="C1419" s="589" t="s">
        <v>1151</v>
      </c>
      <c r="D1419" s="578">
        <v>1</v>
      </c>
      <c r="E1419" s="579" t="s">
        <v>8</v>
      </c>
      <c r="F1419" s="569">
        <v>1</v>
      </c>
      <c r="G1419" s="590">
        <v>24.375</v>
      </c>
      <c r="H1419" s="591">
        <v>0.2</v>
      </c>
      <c r="I1419" s="591"/>
      <c r="J1419" s="591">
        <f t="shared" si="101"/>
        <v>4.875</v>
      </c>
      <c r="K1419" s="592"/>
    </row>
    <row r="1420" spans="1:11">
      <c r="A1420" s="568"/>
      <c r="B1420" s="593" t="s">
        <v>583</v>
      </c>
      <c r="C1420" s="589" t="s">
        <v>1151</v>
      </c>
      <c r="D1420" s="578">
        <v>2</v>
      </c>
      <c r="E1420" s="579" t="s">
        <v>8</v>
      </c>
      <c r="F1420" s="569">
        <v>1</v>
      </c>
      <c r="G1420" s="590">
        <v>8.3000000000000007</v>
      </c>
      <c r="H1420" s="591"/>
      <c r="I1420" s="591">
        <v>0.6</v>
      </c>
      <c r="J1420" s="591">
        <f t="shared" si="101"/>
        <v>9.9600000000000009</v>
      </c>
      <c r="K1420" s="592"/>
    </row>
    <row r="1421" spans="1:11">
      <c r="A1421" s="568"/>
      <c r="B1421" s="593"/>
      <c r="C1421" s="589" t="s">
        <v>1151</v>
      </c>
      <c r="D1421" s="578">
        <v>1</v>
      </c>
      <c r="E1421" s="579" t="s">
        <v>8</v>
      </c>
      <c r="F1421" s="569">
        <v>1</v>
      </c>
      <c r="G1421" s="590">
        <v>8.3000000000000007</v>
      </c>
      <c r="H1421" s="591">
        <v>0.2</v>
      </c>
      <c r="I1421" s="591"/>
      <c r="J1421" s="591">
        <f t="shared" si="101"/>
        <v>1.6600000000000001</v>
      </c>
      <c r="K1421" s="592"/>
    </row>
    <row r="1422" spans="1:11">
      <c r="A1422" s="568"/>
      <c r="B1422" s="593" t="s">
        <v>617</v>
      </c>
      <c r="C1422" s="589"/>
      <c r="G1422" s="590"/>
      <c r="H1422" s="591"/>
      <c r="I1422" s="591"/>
      <c r="J1422" s="591">
        <f t="shared" si="101"/>
        <v>0</v>
      </c>
      <c r="K1422" s="592"/>
    </row>
    <row r="1423" spans="1:11">
      <c r="A1423" s="568"/>
      <c r="B1423" s="593" t="s">
        <v>1153</v>
      </c>
      <c r="C1423" s="589" t="s">
        <v>1154</v>
      </c>
      <c r="D1423" s="578">
        <v>2</v>
      </c>
      <c r="E1423" s="579" t="s">
        <v>8</v>
      </c>
      <c r="F1423" s="569">
        <v>1</v>
      </c>
      <c r="G1423" s="590">
        <v>20.399999999999999</v>
      </c>
      <c r="H1423" s="591"/>
      <c r="I1423" s="591">
        <v>0.45</v>
      </c>
      <c r="J1423" s="591">
        <f t="shared" si="101"/>
        <v>18.36</v>
      </c>
      <c r="K1423" s="592"/>
    </row>
    <row r="1424" spans="1:11">
      <c r="A1424" s="568"/>
      <c r="B1424" s="593"/>
      <c r="C1424" s="589"/>
      <c r="D1424" s="578">
        <v>1</v>
      </c>
      <c r="E1424" s="579" t="s">
        <v>8</v>
      </c>
      <c r="F1424" s="569">
        <v>1</v>
      </c>
      <c r="G1424" s="590">
        <v>20.399999999999999</v>
      </c>
      <c r="H1424" s="591">
        <v>0.2</v>
      </c>
      <c r="I1424" s="591"/>
      <c r="J1424" s="591">
        <f t="shared" si="101"/>
        <v>4.08</v>
      </c>
      <c r="K1424" s="592"/>
    </row>
    <row r="1425" spans="1:11">
      <c r="A1425" s="568"/>
      <c r="B1425" s="593" t="s">
        <v>1155</v>
      </c>
      <c r="C1425" s="589" t="s">
        <v>1156</v>
      </c>
      <c r="D1425" s="578">
        <v>2</v>
      </c>
      <c r="E1425" s="579" t="s">
        <v>8</v>
      </c>
      <c r="F1425" s="569">
        <v>1</v>
      </c>
      <c r="G1425" s="590">
        <v>16.841999999999999</v>
      </c>
      <c r="H1425" s="591"/>
      <c r="I1425" s="591">
        <v>0.45</v>
      </c>
      <c r="J1425" s="591">
        <f t="shared" si="101"/>
        <v>15.1578</v>
      </c>
      <c r="K1425" s="592"/>
    </row>
    <row r="1426" spans="1:11">
      <c r="A1426" s="568"/>
      <c r="B1426" s="593"/>
      <c r="C1426" s="589"/>
      <c r="D1426" s="578">
        <v>1</v>
      </c>
      <c r="E1426" s="579" t="s">
        <v>8</v>
      </c>
      <c r="F1426" s="569">
        <v>1</v>
      </c>
      <c r="G1426" s="590">
        <v>16.841999999999999</v>
      </c>
      <c r="H1426" s="591">
        <v>0.2</v>
      </c>
      <c r="I1426" s="591"/>
      <c r="J1426" s="591">
        <f t="shared" si="101"/>
        <v>3.3683999999999998</v>
      </c>
      <c r="K1426" s="592"/>
    </row>
    <row r="1427" spans="1:11">
      <c r="A1427" s="568"/>
      <c r="B1427" s="593"/>
      <c r="C1427" s="589" t="s">
        <v>1157</v>
      </c>
      <c r="D1427" s="578">
        <v>2</v>
      </c>
      <c r="E1427" s="579" t="s">
        <v>8</v>
      </c>
      <c r="F1427" s="569">
        <v>1</v>
      </c>
      <c r="G1427" s="590">
        <v>3.6989999999999998</v>
      </c>
      <c r="H1427" s="591"/>
      <c r="I1427" s="591">
        <v>0.6</v>
      </c>
      <c r="J1427" s="591">
        <f t="shared" si="101"/>
        <v>4.4387999999999996</v>
      </c>
      <c r="K1427" s="592"/>
    </row>
    <row r="1428" spans="1:11">
      <c r="A1428" s="568"/>
      <c r="B1428" s="593"/>
      <c r="C1428" s="589"/>
      <c r="D1428" s="578">
        <v>1</v>
      </c>
      <c r="E1428" s="579" t="s">
        <v>8</v>
      </c>
      <c r="F1428" s="569">
        <v>1</v>
      </c>
      <c r="G1428" s="590">
        <v>3.6989999999999998</v>
      </c>
      <c r="H1428" s="591">
        <v>0.2</v>
      </c>
      <c r="I1428" s="591">
        <v>0.6</v>
      </c>
      <c r="J1428" s="591">
        <f t="shared" si="101"/>
        <v>0.44388</v>
      </c>
      <c r="K1428" s="592"/>
    </row>
    <row r="1429" spans="1:11">
      <c r="A1429" s="568"/>
      <c r="B1429" s="593"/>
      <c r="C1429" s="589" t="s">
        <v>1158</v>
      </c>
      <c r="D1429" s="578">
        <v>2</v>
      </c>
      <c r="E1429" s="579" t="s">
        <v>8</v>
      </c>
      <c r="F1429" s="569">
        <v>1</v>
      </c>
      <c r="G1429" s="590">
        <v>16.800999999999998</v>
      </c>
      <c r="H1429" s="591"/>
      <c r="I1429" s="591">
        <v>0.45</v>
      </c>
      <c r="J1429" s="591">
        <f t="shared" si="101"/>
        <v>15.120899999999999</v>
      </c>
      <c r="K1429" s="592"/>
    </row>
    <row r="1430" spans="1:11">
      <c r="A1430" s="568"/>
      <c r="B1430" s="593"/>
      <c r="C1430" s="589"/>
      <c r="D1430" s="578">
        <v>1</v>
      </c>
      <c r="E1430" s="579" t="s">
        <v>8</v>
      </c>
      <c r="F1430" s="569">
        <v>1</v>
      </c>
      <c r="G1430" s="590">
        <v>16.800999999999998</v>
      </c>
      <c r="H1430" s="591">
        <v>0.2</v>
      </c>
      <c r="I1430" s="591">
        <v>0.45</v>
      </c>
      <c r="J1430" s="591">
        <f t="shared" si="101"/>
        <v>1.5120899999999999</v>
      </c>
      <c r="K1430" s="592"/>
    </row>
    <row r="1431" spans="1:11">
      <c r="A1431" s="568"/>
      <c r="B1431" s="593"/>
      <c r="C1431" s="589" t="s">
        <v>1159</v>
      </c>
      <c r="D1431" s="578">
        <v>2</v>
      </c>
      <c r="E1431" s="579" t="s">
        <v>8</v>
      </c>
      <c r="F1431" s="569">
        <v>1</v>
      </c>
      <c r="G1431" s="590">
        <v>16.800999999999998</v>
      </c>
      <c r="H1431" s="591"/>
      <c r="I1431" s="591">
        <v>0.45</v>
      </c>
      <c r="J1431" s="591">
        <f t="shared" si="101"/>
        <v>15.120899999999999</v>
      </c>
      <c r="K1431" s="592"/>
    </row>
    <row r="1432" spans="1:11">
      <c r="A1432" s="568"/>
      <c r="B1432" s="593"/>
      <c r="C1432" s="589"/>
      <c r="D1432" s="578">
        <v>1</v>
      </c>
      <c r="E1432" s="579" t="s">
        <v>8</v>
      </c>
      <c r="F1432" s="569">
        <v>1</v>
      </c>
      <c r="G1432" s="590">
        <v>16.800999999999998</v>
      </c>
      <c r="H1432" s="591">
        <v>0.2</v>
      </c>
      <c r="I1432" s="591">
        <v>0.45</v>
      </c>
      <c r="J1432" s="591">
        <f t="shared" si="101"/>
        <v>1.5120899999999999</v>
      </c>
      <c r="K1432" s="592"/>
    </row>
    <row r="1433" spans="1:11">
      <c r="A1433" s="568"/>
      <c r="B1433" s="593" t="s">
        <v>1160</v>
      </c>
      <c r="C1433" s="589" t="s">
        <v>1161</v>
      </c>
      <c r="D1433" s="578">
        <v>2</v>
      </c>
      <c r="E1433" s="579" t="s">
        <v>8</v>
      </c>
      <c r="F1433" s="569">
        <v>1</v>
      </c>
      <c r="G1433" s="590">
        <v>7</v>
      </c>
      <c r="H1433" s="591"/>
      <c r="I1433" s="591">
        <v>0.75</v>
      </c>
      <c r="J1433" s="591">
        <f t="shared" si="101"/>
        <v>10.5</v>
      </c>
      <c r="K1433" s="592"/>
    </row>
    <row r="1434" spans="1:11">
      <c r="A1434" s="568"/>
      <c r="B1434" s="593"/>
      <c r="C1434" s="589"/>
      <c r="D1434" s="578">
        <v>1</v>
      </c>
      <c r="E1434" s="579" t="s">
        <v>8</v>
      </c>
      <c r="F1434" s="569">
        <v>1</v>
      </c>
      <c r="G1434" s="590">
        <v>7</v>
      </c>
      <c r="H1434" s="591">
        <v>0.23</v>
      </c>
      <c r="I1434" s="591">
        <v>0.75</v>
      </c>
      <c r="J1434" s="591">
        <f t="shared" si="101"/>
        <v>1.2075</v>
      </c>
      <c r="K1434" s="592"/>
    </row>
    <row r="1435" spans="1:11">
      <c r="A1435" s="568"/>
      <c r="B1435" s="593"/>
      <c r="C1435" s="589" t="s">
        <v>1161</v>
      </c>
      <c r="D1435" s="578">
        <v>2</v>
      </c>
      <c r="E1435" s="579" t="s">
        <v>8</v>
      </c>
      <c r="F1435" s="569">
        <v>1</v>
      </c>
      <c r="G1435" s="590">
        <v>16.800999999999998</v>
      </c>
      <c r="H1435" s="591"/>
      <c r="I1435" s="591">
        <v>0.45</v>
      </c>
      <c r="J1435" s="591">
        <f t="shared" si="101"/>
        <v>15.120899999999999</v>
      </c>
      <c r="K1435" s="592"/>
    </row>
    <row r="1436" spans="1:11">
      <c r="A1436" s="568"/>
      <c r="B1436" s="593"/>
      <c r="C1436" s="589"/>
      <c r="D1436" s="578">
        <v>1</v>
      </c>
      <c r="E1436" s="579" t="s">
        <v>8</v>
      </c>
      <c r="F1436" s="569">
        <v>1</v>
      </c>
      <c r="G1436" s="590">
        <v>16.800999999999998</v>
      </c>
      <c r="H1436" s="591">
        <v>0.2</v>
      </c>
      <c r="I1436" s="591">
        <v>0.45</v>
      </c>
      <c r="J1436" s="591">
        <f t="shared" ref="J1436:J1460" si="102">PRODUCT(D1436:I1436)</f>
        <v>1.5120899999999999</v>
      </c>
      <c r="K1436" s="592"/>
    </row>
    <row r="1437" spans="1:11" ht="16.5" customHeight="1">
      <c r="A1437" s="568"/>
      <c r="B1437" s="593"/>
      <c r="C1437" s="589" t="s">
        <v>1162</v>
      </c>
      <c r="D1437" s="578">
        <v>2</v>
      </c>
      <c r="E1437" s="579" t="s">
        <v>8</v>
      </c>
      <c r="F1437" s="569">
        <v>1</v>
      </c>
      <c r="G1437" s="590">
        <v>2.2999999999999998</v>
      </c>
      <c r="H1437" s="591"/>
      <c r="I1437" s="591">
        <v>0.45</v>
      </c>
      <c r="J1437" s="591">
        <f t="shared" si="102"/>
        <v>2.0699999999999998</v>
      </c>
      <c r="K1437" s="592"/>
    </row>
    <row r="1438" spans="1:11" ht="16.5" customHeight="1">
      <c r="A1438" s="568"/>
      <c r="B1438" s="593"/>
      <c r="C1438" s="589"/>
      <c r="D1438" s="578">
        <v>1</v>
      </c>
      <c r="E1438" s="579" t="s">
        <v>8</v>
      </c>
      <c r="F1438" s="569">
        <v>1</v>
      </c>
      <c r="G1438" s="590">
        <v>2.2999999999999998</v>
      </c>
      <c r="H1438" s="591">
        <v>0.2</v>
      </c>
      <c r="I1438" s="591">
        <v>0.45</v>
      </c>
      <c r="J1438" s="591">
        <f t="shared" si="102"/>
        <v>0.20699999999999999</v>
      </c>
      <c r="K1438" s="592"/>
    </row>
    <row r="1439" spans="1:11">
      <c r="A1439" s="568"/>
      <c r="B1439" s="593"/>
      <c r="C1439" s="589" t="s">
        <v>1163</v>
      </c>
      <c r="D1439" s="578">
        <v>2</v>
      </c>
      <c r="E1439" s="579" t="s">
        <v>8</v>
      </c>
      <c r="F1439" s="569">
        <v>2</v>
      </c>
      <c r="G1439" s="590">
        <v>5.6</v>
      </c>
      <c r="H1439" s="591"/>
      <c r="I1439" s="591">
        <v>0.6</v>
      </c>
      <c r="J1439" s="591">
        <f t="shared" si="102"/>
        <v>13.44</v>
      </c>
      <c r="K1439" s="592"/>
    </row>
    <row r="1440" spans="1:11">
      <c r="A1440" s="568"/>
      <c r="B1440" s="593"/>
      <c r="C1440" s="589"/>
      <c r="D1440" s="578">
        <v>1</v>
      </c>
      <c r="E1440" s="579" t="s">
        <v>8</v>
      </c>
      <c r="F1440" s="569">
        <v>2</v>
      </c>
      <c r="G1440" s="590">
        <v>5.6</v>
      </c>
      <c r="H1440" s="591">
        <v>0.2</v>
      </c>
      <c r="I1440" s="591">
        <v>0.6</v>
      </c>
      <c r="J1440" s="591">
        <f t="shared" si="102"/>
        <v>1.3439999999999999</v>
      </c>
      <c r="K1440" s="592"/>
    </row>
    <row r="1441" spans="1:11">
      <c r="A1441" s="568"/>
      <c r="B1441" s="593"/>
      <c r="C1441" s="589" t="s">
        <v>1163</v>
      </c>
      <c r="D1441" s="578">
        <v>2</v>
      </c>
      <c r="E1441" s="579" t="s">
        <v>8</v>
      </c>
      <c r="F1441" s="569">
        <v>2</v>
      </c>
      <c r="G1441" s="590">
        <v>2.1</v>
      </c>
      <c r="H1441" s="591"/>
      <c r="I1441" s="591">
        <v>0.45</v>
      </c>
      <c r="J1441" s="591">
        <f t="shared" si="102"/>
        <v>3.7800000000000002</v>
      </c>
      <c r="K1441" s="592"/>
    </row>
    <row r="1442" spans="1:11">
      <c r="A1442" s="568"/>
      <c r="B1442" s="593"/>
      <c r="C1442" s="589"/>
      <c r="D1442" s="578">
        <v>1</v>
      </c>
      <c r="E1442" s="579" t="s">
        <v>8</v>
      </c>
      <c r="F1442" s="569">
        <v>2</v>
      </c>
      <c r="G1442" s="590">
        <v>2.1</v>
      </c>
      <c r="H1442" s="591">
        <v>0.2</v>
      </c>
      <c r="I1442" s="591">
        <v>0.45</v>
      </c>
      <c r="J1442" s="591">
        <f t="shared" si="102"/>
        <v>0.37800000000000006</v>
      </c>
      <c r="K1442" s="592"/>
    </row>
    <row r="1443" spans="1:11">
      <c r="A1443" s="568"/>
      <c r="B1443" s="593" t="s">
        <v>1164</v>
      </c>
      <c r="C1443" s="589" t="s">
        <v>1165</v>
      </c>
      <c r="D1443" s="578">
        <v>2</v>
      </c>
      <c r="E1443" s="579" t="s">
        <v>8</v>
      </c>
      <c r="F1443" s="569">
        <v>5</v>
      </c>
      <c r="G1443" s="590">
        <v>6.8</v>
      </c>
      <c r="H1443" s="591"/>
      <c r="I1443" s="591">
        <v>0.6</v>
      </c>
      <c r="J1443" s="591">
        <f t="shared" si="102"/>
        <v>40.799999999999997</v>
      </c>
      <c r="K1443" s="592"/>
    </row>
    <row r="1444" spans="1:11">
      <c r="A1444" s="568"/>
      <c r="B1444" s="593"/>
      <c r="C1444" s="589"/>
      <c r="D1444" s="578">
        <v>1</v>
      </c>
      <c r="E1444" s="579" t="s">
        <v>8</v>
      </c>
      <c r="F1444" s="569">
        <v>5</v>
      </c>
      <c r="G1444" s="590">
        <v>6.8</v>
      </c>
      <c r="H1444" s="591">
        <v>0.2</v>
      </c>
      <c r="I1444" s="591">
        <v>0.6</v>
      </c>
      <c r="J1444" s="591">
        <f t="shared" si="102"/>
        <v>4.08</v>
      </c>
      <c r="K1444" s="592"/>
    </row>
    <row r="1445" spans="1:11">
      <c r="A1445" s="568"/>
      <c r="B1445" s="593" t="s">
        <v>1164</v>
      </c>
      <c r="C1445" s="589" t="s">
        <v>1166</v>
      </c>
      <c r="D1445" s="578">
        <v>2</v>
      </c>
      <c r="E1445" s="579" t="s">
        <v>8</v>
      </c>
      <c r="F1445" s="569">
        <v>5</v>
      </c>
      <c r="G1445" s="590">
        <v>1.7</v>
      </c>
      <c r="H1445" s="591"/>
      <c r="I1445" s="591">
        <v>0.45</v>
      </c>
      <c r="J1445" s="591">
        <f t="shared" si="102"/>
        <v>7.65</v>
      </c>
      <c r="K1445" s="592"/>
    </row>
    <row r="1446" spans="1:11">
      <c r="A1446" s="568"/>
      <c r="B1446" s="593"/>
      <c r="C1446" s="589"/>
      <c r="D1446" s="578">
        <v>1</v>
      </c>
      <c r="E1446" s="579" t="s">
        <v>8</v>
      </c>
      <c r="F1446" s="569">
        <v>5</v>
      </c>
      <c r="G1446" s="590">
        <v>1.7</v>
      </c>
      <c r="H1446" s="591">
        <v>0.2</v>
      </c>
      <c r="I1446" s="591">
        <v>0.45</v>
      </c>
      <c r="J1446" s="591">
        <f t="shared" si="102"/>
        <v>0.76500000000000012</v>
      </c>
      <c r="K1446" s="592"/>
    </row>
    <row r="1447" spans="1:11">
      <c r="A1447" s="568"/>
      <c r="B1447" s="593"/>
      <c r="C1447" s="589" t="s">
        <v>1167</v>
      </c>
      <c r="D1447" s="578">
        <v>2</v>
      </c>
      <c r="E1447" s="579" t="s">
        <v>8</v>
      </c>
      <c r="F1447" s="569">
        <v>3</v>
      </c>
      <c r="G1447" s="590">
        <v>5.6</v>
      </c>
      <c r="H1447" s="591"/>
      <c r="I1447" s="591">
        <v>0.6</v>
      </c>
      <c r="J1447" s="591">
        <f t="shared" si="102"/>
        <v>20.159999999999997</v>
      </c>
      <c r="K1447" s="592"/>
    </row>
    <row r="1448" spans="1:11">
      <c r="A1448" s="568"/>
      <c r="B1448" s="593"/>
      <c r="C1448" s="589"/>
      <c r="D1448" s="578">
        <v>1</v>
      </c>
      <c r="E1448" s="579" t="s">
        <v>8</v>
      </c>
      <c r="F1448" s="569">
        <v>3</v>
      </c>
      <c r="G1448" s="590">
        <v>5.6</v>
      </c>
      <c r="H1448" s="591">
        <v>0.2</v>
      </c>
      <c r="I1448" s="591">
        <v>0.6</v>
      </c>
      <c r="J1448" s="591">
        <f t="shared" si="102"/>
        <v>2.0159999999999996</v>
      </c>
      <c r="K1448" s="592"/>
    </row>
    <row r="1449" spans="1:11">
      <c r="A1449" s="568"/>
      <c r="B1449" s="593" t="s">
        <v>1168</v>
      </c>
      <c r="C1449" s="589" t="s">
        <v>1167</v>
      </c>
      <c r="D1449" s="578">
        <v>2</v>
      </c>
      <c r="E1449" s="579" t="s">
        <v>8</v>
      </c>
      <c r="F1449" s="569">
        <v>3</v>
      </c>
      <c r="G1449" s="590">
        <f>2.1+5</f>
        <v>7.1</v>
      </c>
      <c r="H1449" s="591"/>
      <c r="I1449" s="591">
        <v>0.45</v>
      </c>
      <c r="J1449" s="591">
        <f t="shared" si="102"/>
        <v>19.169999999999998</v>
      </c>
      <c r="K1449" s="592"/>
    </row>
    <row r="1450" spans="1:11">
      <c r="A1450" s="568"/>
      <c r="B1450" s="593"/>
      <c r="C1450" s="589"/>
      <c r="D1450" s="578">
        <v>1</v>
      </c>
      <c r="E1450" s="579" t="s">
        <v>8</v>
      </c>
      <c r="F1450" s="569">
        <v>3</v>
      </c>
      <c r="G1450" s="590">
        <f>2.1+5</f>
        <v>7.1</v>
      </c>
      <c r="H1450" s="591">
        <v>0.2</v>
      </c>
      <c r="I1450" s="591">
        <v>0.45</v>
      </c>
      <c r="J1450" s="591">
        <f t="shared" si="102"/>
        <v>1.917</v>
      </c>
      <c r="K1450" s="592"/>
    </row>
    <row r="1451" spans="1:11">
      <c r="A1451" s="568"/>
      <c r="B1451" s="593"/>
      <c r="C1451" s="589" t="s">
        <v>1169</v>
      </c>
      <c r="D1451" s="578">
        <v>2</v>
      </c>
      <c r="E1451" s="579" t="s">
        <v>8</v>
      </c>
      <c r="F1451" s="569">
        <v>2</v>
      </c>
      <c r="G1451" s="590">
        <v>12.28</v>
      </c>
      <c r="H1451" s="591"/>
      <c r="I1451" s="591">
        <v>0.375</v>
      </c>
      <c r="J1451" s="591">
        <f t="shared" si="102"/>
        <v>18.419999999999998</v>
      </c>
      <c r="K1451" s="592"/>
    </row>
    <row r="1452" spans="1:11">
      <c r="A1452" s="568"/>
      <c r="B1452" s="593"/>
      <c r="C1452" s="589"/>
      <c r="D1452" s="578">
        <v>1</v>
      </c>
      <c r="E1452" s="579" t="s">
        <v>8</v>
      </c>
      <c r="F1452" s="569">
        <v>2</v>
      </c>
      <c r="G1452" s="590">
        <v>12.28</v>
      </c>
      <c r="H1452" s="591">
        <v>0.2</v>
      </c>
      <c r="I1452" s="591">
        <v>0.375</v>
      </c>
      <c r="J1452" s="591">
        <f t="shared" si="102"/>
        <v>1.8420000000000001</v>
      </c>
      <c r="K1452" s="592"/>
    </row>
    <row r="1453" spans="1:11">
      <c r="A1453" s="568"/>
      <c r="B1453" s="593"/>
      <c r="C1453" s="589" t="s">
        <v>1170</v>
      </c>
      <c r="D1453" s="578">
        <v>2</v>
      </c>
      <c r="E1453" s="579" t="s">
        <v>8</v>
      </c>
      <c r="F1453" s="569">
        <v>6</v>
      </c>
      <c r="G1453" s="590">
        <v>1.7</v>
      </c>
      <c r="H1453" s="591"/>
      <c r="I1453" s="591">
        <v>0.45</v>
      </c>
      <c r="J1453" s="591">
        <f t="shared" si="102"/>
        <v>9.18</v>
      </c>
      <c r="K1453" s="592"/>
    </row>
    <row r="1454" spans="1:11">
      <c r="A1454" s="568"/>
      <c r="B1454" s="593"/>
      <c r="C1454" s="589"/>
      <c r="D1454" s="578">
        <v>1</v>
      </c>
      <c r="E1454" s="579" t="s">
        <v>8</v>
      </c>
      <c r="F1454" s="569">
        <v>6</v>
      </c>
      <c r="G1454" s="590">
        <v>1.7</v>
      </c>
      <c r="H1454" s="591">
        <v>0.2</v>
      </c>
      <c r="I1454" s="591">
        <v>0.45</v>
      </c>
      <c r="J1454" s="591">
        <f t="shared" si="102"/>
        <v>0.91800000000000004</v>
      </c>
      <c r="K1454" s="592"/>
    </row>
    <row r="1455" spans="1:11">
      <c r="A1455" s="568"/>
      <c r="B1455" s="593"/>
      <c r="C1455" s="589" t="s">
        <v>1171</v>
      </c>
      <c r="D1455" s="578">
        <v>2</v>
      </c>
      <c r="E1455" s="579" t="s">
        <v>8</v>
      </c>
      <c r="F1455" s="569">
        <v>1</v>
      </c>
      <c r="G1455" s="590">
        <v>8.2430000000000003</v>
      </c>
      <c r="H1455" s="591"/>
      <c r="I1455" s="591">
        <v>0.45</v>
      </c>
      <c r="J1455" s="591">
        <f t="shared" si="102"/>
        <v>7.4187000000000003</v>
      </c>
      <c r="K1455" s="592"/>
    </row>
    <row r="1456" spans="1:11">
      <c r="A1456" s="568"/>
      <c r="B1456" s="593"/>
      <c r="C1456" s="589"/>
      <c r="D1456" s="578">
        <v>1</v>
      </c>
      <c r="E1456" s="579" t="s">
        <v>8</v>
      </c>
      <c r="F1456" s="569">
        <v>1</v>
      </c>
      <c r="G1456" s="590">
        <v>8.2430000000000003</v>
      </c>
      <c r="H1456" s="591">
        <v>0.2</v>
      </c>
      <c r="I1456" s="591">
        <v>0.45</v>
      </c>
      <c r="J1456" s="591">
        <f t="shared" si="102"/>
        <v>0.74187000000000003</v>
      </c>
      <c r="K1456" s="592"/>
    </row>
    <row r="1457" spans="1:11">
      <c r="A1457" s="568"/>
      <c r="B1457" s="593"/>
      <c r="C1457" s="589" t="s">
        <v>1172</v>
      </c>
      <c r="D1457" s="578">
        <v>2</v>
      </c>
      <c r="E1457" s="579" t="s">
        <v>8</v>
      </c>
      <c r="F1457" s="569">
        <v>1</v>
      </c>
      <c r="G1457" s="590">
        <v>8.2430000000000003</v>
      </c>
      <c r="H1457" s="591"/>
      <c r="I1457" s="591">
        <v>0.9</v>
      </c>
      <c r="J1457" s="591">
        <f t="shared" si="102"/>
        <v>14.837400000000001</v>
      </c>
      <c r="K1457" s="592"/>
    </row>
    <row r="1458" spans="1:11">
      <c r="A1458" s="568"/>
      <c r="B1458" s="593"/>
      <c r="C1458" s="589"/>
      <c r="D1458" s="578">
        <v>1</v>
      </c>
      <c r="E1458" s="579" t="s">
        <v>8</v>
      </c>
      <c r="F1458" s="569">
        <v>1</v>
      </c>
      <c r="G1458" s="590">
        <v>8.2430000000000003</v>
      </c>
      <c r="H1458" s="591">
        <v>0.2</v>
      </c>
      <c r="I1458" s="591">
        <v>0.9</v>
      </c>
      <c r="J1458" s="591">
        <f t="shared" si="102"/>
        <v>1.4837400000000001</v>
      </c>
      <c r="K1458" s="592"/>
    </row>
    <row r="1459" spans="1:11" ht="18.75" customHeight="1">
      <c r="A1459" s="568"/>
      <c r="B1459" s="593"/>
      <c r="C1459" s="589" t="s">
        <v>1173</v>
      </c>
      <c r="D1459" s="578">
        <v>2</v>
      </c>
      <c r="E1459" s="579" t="s">
        <v>8</v>
      </c>
      <c r="F1459" s="569">
        <v>4</v>
      </c>
      <c r="G1459" s="590">
        <v>4.2</v>
      </c>
      <c r="H1459" s="591"/>
      <c r="I1459" s="591">
        <v>0.6</v>
      </c>
      <c r="J1459" s="591">
        <f t="shared" si="102"/>
        <v>20.16</v>
      </c>
      <c r="K1459" s="592"/>
    </row>
    <row r="1460" spans="1:11" ht="18.75" customHeight="1">
      <c r="A1460" s="568"/>
      <c r="B1460" s="593"/>
      <c r="C1460" s="589"/>
      <c r="D1460" s="578">
        <v>1</v>
      </c>
      <c r="E1460" s="579" t="s">
        <v>8</v>
      </c>
      <c r="F1460" s="569">
        <v>4</v>
      </c>
      <c r="G1460" s="590">
        <v>4.2</v>
      </c>
      <c r="H1460" s="591">
        <v>0.3</v>
      </c>
      <c r="I1460" s="591">
        <v>0.6</v>
      </c>
      <c r="J1460" s="591">
        <f t="shared" si="102"/>
        <v>3.024</v>
      </c>
      <c r="K1460" s="592"/>
    </row>
    <row r="1461" spans="1:11">
      <c r="A1461" s="568"/>
      <c r="B1461" s="593"/>
      <c r="C1461" s="589"/>
      <c r="G1461" s="590"/>
      <c r="H1461" s="591"/>
      <c r="I1461" s="591"/>
      <c r="J1461" s="605">
        <f>SUM(J1372:J1460)</f>
        <v>609.56040999999971</v>
      </c>
      <c r="K1461" s="592"/>
    </row>
    <row r="1462" spans="1:11">
      <c r="A1462" s="568"/>
      <c r="B1462" s="593"/>
      <c r="C1462" s="589"/>
      <c r="G1462" s="591"/>
      <c r="H1462" s="591"/>
      <c r="I1462" s="591"/>
      <c r="J1462" s="605">
        <f>ROUNDUP(J1461,0)</f>
        <v>610</v>
      </c>
      <c r="K1462" s="592" t="s">
        <v>9</v>
      </c>
    </row>
    <row r="1463" spans="1:11">
      <c r="A1463" s="568"/>
      <c r="B1463" s="593" t="s">
        <v>1198</v>
      </c>
      <c r="C1463" s="589"/>
      <c r="G1463" s="590"/>
      <c r="H1463" s="591"/>
      <c r="I1463" s="591"/>
      <c r="J1463" s="605"/>
      <c r="K1463" s="592"/>
    </row>
    <row r="1464" spans="1:11">
      <c r="A1464" s="568"/>
      <c r="B1464" s="593" t="s">
        <v>1174</v>
      </c>
      <c r="C1464" s="589"/>
      <c r="D1464" s="578">
        <v>1</v>
      </c>
      <c r="E1464" s="579" t="s">
        <v>8</v>
      </c>
      <c r="F1464" s="569">
        <v>1</v>
      </c>
      <c r="G1464" s="590">
        <v>3.5</v>
      </c>
      <c r="H1464" s="591">
        <v>3.2</v>
      </c>
      <c r="I1464" s="591"/>
      <c r="J1464" s="591">
        <f t="shared" ref="J1464:J1474" si="103">PRODUCT(D1464:I1464)</f>
        <v>11.200000000000001</v>
      </c>
      <c r="K1464" s="592"/>
    </row>
    <row r="1465" spans="1:11">
      <c r="A1465" s="568"/>
      <c r="B1465" s="593" t="s">
        <v>1175</v>
      </c>
      <c r="C1465" s="589"/>
      <c r="D1465" s="578">
        <v>1</v>
      </c>
      <c r="E1465" s="579" t="s">
        <v>8</v>
      </c>
      <c r="F1465" s="569">
        <v>1</v>
      </c>
      <c r="G1465" s="590">
        <v>4</v>
      </c>
      <c r="H1465" s="591">
        <v>3.2</v>
      </c>
      <c r="I1465" s="591"/>
      <c r="J1465" s="591">
        <f t="shared" si="103"/>
        <v>12.8</v>
      </c>
      <c r="K1465" s="592"/>
    </row>
    <row r="1466" spans="1:11">
      <c r="A1466" s="568"/>
      <c r="B1466" s="593" t="s">
        <v>1176</v>
      </c>
      <c r="C1466" s="589" t="s">
        <v>1177</v>
      </c>
      <c r="D1466" s="578">
        <v>1</v>
      </c>
      <c r="E1466" s="579" t="s">
        <v>8</v>
      </c>
      <c r="F1466" s="569">
        <v>5</v>
      </c>
      <c r="G1466" s="590">
        <v>3.77</v>
      </c>
      <c r="H1466" s="591">
        <v>6.8</v>
      </c>
      <c r="I1466" s="591"/>
      <c r="J1466" s="591">
        <f t="shared" si="103"/>
        <v>128.18</v>
      </c>
      <c r="K1466" s="592"/>
    </row>
    <row r="1467" spans="1:11">
      <c r="A1467" s="568"/>
      <c r="B1467" s="593" t="s">
        <v>1178</v>
      </c>
      <c r="C1467" s="589"/>
      <c r="D1467" s="578">
        <v>1</v>
      </c>
      <c r="E1467" s="579" t="s">
        <v>8</v>
      </c>
      <c r="F1467" s="569">
        <v>1</v>
      </c>
      <c r="G1467" s="590">
        <v>3.875</v>
      </c>
      <c r="H1467" s="591">
        <v>7.8</v>
      </c>
      <c r="I1467" s="591"/>
      <c r="J1467" s="591">
        <f t="shared" si="103"/>
        <v>30.224999999999998</v>
      </c>
      <c r="K1467" s="592"/>
    </row>
    <row r="1468" spans="1:11">
      <c r="A1468" s="568"/>
      <c r="B1468" s="593" t="s">
        <v>1179</v>
      </c>
      <c r="C1468" s="589"/>
      <c r="D1468" s="578">
        <v>1</v>
      </c>
      <c r="E1468" s="579" t="s">
        <v>8</v>
      </c>
      <c r="F1468" s="569">
        <v>1</v>
      </c>
      <c r="G1468" s="590">
        <v>1.4</v>
      </c>
      <c r="H1468" s="591">
        <v>7.8</v>
      </c>
      <c r="I1468" s="591"/>
      <c r="J1468" s="591">
        <f t="shared" si="103"/>
        <v>10.92</v>
      </c>
      <c r="K1468" s="592"/>
    </row>
    <row r="1469" spans="1:11">
      <c r="A1469" s="568"/>
      <c r="B1469" s="593" t="s">
        <v>1180</v>
      </c>
      <c r="C1469" s="589"/>
      <c r="D1469" s="578">
        <v>1</v>
      </c>
      <c r="E1469" s="579" t="s">
        <v>8</v>
      </c>
      <c r="F1469" s="569">
        <v>1</v>
      </c>
      <c r="G1469" s="590">
        <v>7.5</v>
      </c>
      <c r="H1469" s="591">
        <v>16.3</v>
      </c>
      <c r="I1469" s="591"/>
      <c r="J1469" s="591">
        <f t="shared" si="103"/>
        <v>122.25</v>
      </c>
      <c r="K1469" s="592"/>
    </row>
    <row r="1470" spans="1:11">
      <c r="A1470" s="568"/>
      <c r="B1470" s="593" t="s">
        <v>1181</v>
      </c>
      <c r="C1470" s="589"/>
      <c r="D1470" s="578">
        <v>1</v>
      </c>
      <c r="E1470" s="579" t="s">
        <v>8</v>
      </c>
      <c r="F1470" s="569">
        <v>1</v>
      </c>
      <c r="G1470" s="590">
        <v>19.8</v>
      </c>
      <c r="H1470" s="591">
        <v>1.5</v>
      </c>
      <c r="I1470" s="591"/>
      <c r="J1470" s="591">
        <f t="shared" si="103"/>
        <v>29.700000000000003</v>
      </c>
      <c r="K1470" s="592"/>
    </row>
    <row r="1471" spans="1:11">
      <c r="A1471" s="568"/>
      <c r="B1471" s="593" t="s">
        <v>1182</v>
      </c>
      <c r="C1471" s="589"/>
      <c r="D1471" s="578">
        <v>1</v>
      </c>
      <c r="E1471" s="579" t="s">
        <v>8</v>
      </c>
      <c r="F1471" s="569">
        <v>1</v>
      </c>
      <c r="G1471" s="590">
        <v>3.3</v>
      </c>
      <c r="H1471" s="591">
        <v>1.9</v>
      </c>
      <c r="I1471" s="591"/>
      <c r="J1471" s="591">
        <f t="shared" si="103"/>
        <v>6.27</v>
      </c>
      <c r="K1471" s="592"/>
    </row>
    <row r="1472" spans="1:11">
      <c r="A1472" s="568"/>
      <c r="B1472" s="593" t="s">
        <v>1183</v>
      </c>
      <c r="C1472" s="589"/>
      <c r="D1472" s="578">
        <v>1</v>
      </c>
      <c r="E1472" s="579" t="s">
        <v>8</v>
      </c>
      <c r="F1472" s="569">
        <v>1</v>
      </c>
      <c r="G1472" s="590">
        <v>3.3</v>
      </c>
      <c r="H1472" s="591">
        <v>1.9</v>
      </c>
      <c r="I1472" s="591"/>
      <c r="J1472" s="591">
        <f t="shared" si="103"/>
        <v>6.27</v>
      </c>
      <c r="K1472" s="592"/>
    </row>
    <row r="1473" spans="1:11">
      <c r="A1473" s="568"/>
      <c r="B1473" s="593" t="s">
        <v>1184</v>
      </c>
      <c r="C1473" s="589"/>
      <c r="D1473" s="578">
        <v>1</v>
      </c>
      <c r="E1473" s="579" t="s">
        <v>8</v>
      </c>
      <c r="F1473" s="569">
        <v>1</v>
      </c>
      <c r="G1473" s="590">
        <v>1.5</v>
      </c>
      <c r="H1473" s="591">
        <v>11.5</v>
      </c>
      <c r="I1473" s="591"/>
      <c r="J1473" s="591">
        <f t="shared" si="103"/>
        <v>17.25</v>
      </c>
      <c r="K1473" s="592"/>
    </row>
    <row r="1474" spans="1:11">
      <c r="A1474" s="568"/>
      <c r="B1474" s="593" t="s">
        <v>1185</v>
      </c>
      <c r="C1474" s="589"/>
      <c r="D1474" s="578">
        <v>1</v>
      </c>
      <c r="E1474" s="579" t="s">
        <v>8</v>
      </c>
      <c r="F1474" s="569">
        <v>1</v>
      </c>
      <c r="G1474" s="590">
        <v>6.4</v>
      </c>
      <c r="H1474" s="591">
        <v>11.8</v>
      </c>
      <c r="I1474" s="591"/>
      <c r="J1474" s="591">
        <f t="shared" si="103"/>
        <v>75.52000000000001</v>
      </c>
      <c r="K1474" s="592"/>
    </row>
    <row r="1475" spans="1:11">
      <c r="A1475" s="568"/>
      <c r="B1475" s="593"/>
      <c r="C1475" s="589"/>
      <c r="G1475" s="590"/>
      <c r="H1475" s="591"/>
      <c r="I1475" s="591"/>
      <c r="J1475" s="605">
        <f>SUM(J1464:J1474)</f>
        <v>450.58499999999992</v>
      </c>
      <c r="K1475" s="592"/>
    </row>
    <row r="1476" spans="1:11">
      <c r="A1476" s="568"/>
      <c r="B1476" s="593"/>
      <c r="C1476" s="589"/>
      <c r="G1476" s="740"/>
      <c r="H1476" s="740"/>
      <c r="I1476" s="591"/>
      <c r="J1476" s="605">
        <f>ROUNDUP(J1475,0)</f>
        <v>451</v>
      </c>
      <c r="K1476" s="592" t="s">
        <v>9</v>
      </c>
    </row>
    <row r="1477" spans="1:11">
      <c r="A1477" s="568"/>
      <c r="B1477" s="593"/>
      <c r="C1477" s="589"/>
      <c r="G1477" s="590"/>
      <c r="H1477" s="591"/>
      <c r="I1477" s="591"/>
      <c r="J1477" s="591"/>
      <c r="K1477" s="592"/>
    </row>
    <row r="1478" spans="1:11" ht="36">
      <c r="A1478" s="568"/>
      <c r="B1478" s="584" t="s">
        <v>1581</v>
      </c>
      <c r="C1478" s="589"/>
      <c r="D1478" s="578">
        <v>1</v>
      </c>
      <c r="E1478" s="579" t="s">
        <v>8</v>
      </c>
      <c r="F1478" s="569">
        <v>1</v>
      </c>
      <c r="G1478" s="740">
        <f>J1339</f>
        <v>51</v>
      </c>
      <c r="H1478" s="740"/>
      <c r="I1478" s="591"/>
      <c r="J1478" s="605">
        <f>PRODUCT(D1478:I1478)</f>
        <v>51</v>
      </c>
      <c r="K1478" s="592" t="s">
        <v>9</v>
      </c>
    </row>
    <row r="1479" spans="1:11">
      <c r="A1479" s="568"/>
      <c r="B1479" s="584"/>
      <c r="C1479" s="589"/>
      <c r="G1479" s="624"/>
      <c r="H1479" s="625"/>
      <c r="I1479" s="591"/>
      <c r="J1479" s="605"/>
      <c r="K1479" s="592"/>
    </row>
    <row r="1480" spans="1:11">
      <c r="A1480" s="568"/>
      <c r="B1480" s="584" t="s">
        <v>62</v>
      </c>
      <c r="C1480" s="589"/>
      <c r="G1480" s="590"/>
      <c r="H1480" s="591"/>
      <c r="I1480" s="591"/>
      <c r="J1480" s="591"/>
      <c r="K1480" s="592"/>
    </row>
    <row r="1481" spans="1:11">
      <c r="A1481" s="568"/>
      <c r="B1481" s="593" t="s">
        <v>504</v>
      </c>
      <c r="C1481" s="589"/>
      <c r="G1481" s="590"/>
      <c r="H1481" s="591"/>
      <c r="I1481" s="591"/>
      <c r="J1481" s="591"/>
      <c r="K1481" s="592"/>
    </row>
    <row r="1482" spans="1:11">
      <c r="A1482" s="568"/>
      <c r="B1482" s="593" t="s">
        <v>1022</v>
      </c>
      <c r="C1482" s="589"/>
      <c r="D1482" s="578">
        <v>1</v>
      </c>
      <c r="E1482" s="579" t="s">
        <v>8</v>
      </c>
      <c r="F1482" s="569">
        <v>1</v>
      </c>
      <c r="G1482" s="590">
        <v>33.17</v>
      </c>
      <c r="H1482" s="591"/>
      <c r="I1482" s="591">
        <v>0.2</v>
      </c>
      <c r="J1482" s="591">
        <f t="shared" ref="J1482:J1486" si="104">PRODUCT(D1482:I1482)</f>
        <v>6.6340000000000003</v>
      </c>
      <c r="K1482" s="592"/>
    </row>
    <row r="1483" spans="1:11">
      <c r="A1483" s="568"/>
      <c r="B1483" s="593" t="s">
        <v>1189</v>
      </c>
      <c r="C1483" s="589"/>
      <c r="D1483" s="578">
        <v>1</v>
      </c>
      <c r="E1483" s="579" t="s">
        <v>8</v>
      </c>
      <c r="F1483" s="569">
        <v>1</v>
      </c>
      <c r="G1483" s="590">
        <f>8.2+0.5</f>
        <v>8.6999999999999993</v>
      </c>
      <c r="H1483" s="591"/>
      <c r="I1483" s="591">
        <v>0.2</v>
      </c>
      <c r="J1483" s="591">
        <f t="shared" si="104"/>
        <v>1.74</v>
      </c>
      <c r="K1483" s="592"/>
    </row>
    <row r="1484" spans="1:11">
      <c r="A1484" s="568"/>
      <c r="B1484" s="593"/>
      <c r="C1484" s="589"/>
      <c r="D1484" s="578">
        <v>1</v>
      </c>
      <c r="E1484" s="579" t="s">
        <v>8</v>
      </c>
      <c r="F1484" s="569">
        <v>1</v>
      </c>
      <c r="G1484" s="590">
        <v>12</v>
      </c>
      <c r="H1484" s="591"/>
      <c r="I1484" s="591">
        <v>0.2</v>
      </c>
      <c r="J1484" s="591">
        <f t="shared" si="104"/>
        <v>2.4000000000000004</v>
      </c>
      <c r="K1484" s="592"/>
    </row>
    <row r="1485" spans="1:11">
      <c r="A1485" s="568"/>
      <c r="B1485" s="593" t="s">
        <v>583</v>
      </c>
      <c r="C1485" s="589"/>
      <c r="D1485" s="578">
        <v>1</v>
      </c>
      <c r="E1485" s="579" t="s">
        <v>8</v>
      </c>
      <c r="F1485" s="569">
        <v>1</v>
      </c>
      <c r="G1485" s="590">
        <f>6.8+6.2</f>
        <v>13</v>
      </c>
      <c r="H1485" s="591"/>
      <c r="I1485" s="591">
        <v>0.2</v>
      </c>
      <c r="J1485" s="591">
        <f t="shared" si="104"/>
        <v>2.6</v>
      </c>
      <c r="K1485" s="592"/>
    </row>
    <row r="1486" spans="1:11">
      <c r="A1486" s="568"/>
      <c r="B1486" s="593" t="s">
        <v>549</v>
      </c>
      <c r="C1486" s="589"/>
      <c r="D1486" s="578">
        <v>1</v>
      </c>
      <c r="E1486" s="579" t="s">
        <v>8</v>
      </c>
      <c r="F1486" s="569">
        <v>1</v>
      </c>
      <c r="G1486" s="590">
        <v>20.2</v>
      </c>
      <c r="H1486" s="591"/>
      <c r="I1486" s="591">
        <v>0.2</v>
      </c>
      <c r="J1486" s="591">
        <f t="shared" si="104"/>
        <v>4.04</v>
      </c>
      <c r="K1486" s="592"/>
    </row>
    <row r="1487" spans="1:11">
      <c r="A1487" s="568"/>
      <c r="B1487" s="593" t="s">
        <v>611</v>
      </c>
      <c r="C1487" s="589"/>
      <c r="G1487" s="590"/>
      <c r="H1487" s="591"/>
      <c r="I1487" s="591"/>
      <c r="J1487" s="591"/>
      <c r="K1487" s="592"/>
    </row>
    <row r="1488" spans="1:11">
      <c r="A1488" s="568"/>
      <c r="B1488" s="593" t="s">
        <v>585</v>
      </c>
      <c r="C1488" s="589"/>
      <c r="D1488" s="578">
        <v>1</v>
      </c>
      <c r="E1488" s="579" t="s">
        <v>8</v>
      </c>
      <c r="F1488" s="569">
        <v>13</v>
      </c>
      <c r="G1488" s="590">
        <f>0.9+0.2+0.2</f>
        <v>1.3</v>
      </c>
      <c r="H1488" s="591"/>
      <c r="I1488" s="591">
        <v>0.2</v>
      </c>
      <c r="J1488" s="591">
        <f t="shared" ref="J1488:J1491" si="105">PRODUCT(D1488:I1488)</f>
        <v>3.3800000000000008</v>
      </c>
      <c r="K1488" s="592"/>
    </row>
    <row r="1489" spans="1:11">
      <c r="A1489" s="568"/>
      <c r="B1489" s="593" t="s">
        <v>1195</v>
      </c>
      <c r="C1489" s="589"/>
      <c r="D1489" s="578">
        <v>1</v>
      </c>
      <c r="E1489" s="579" t="s">
        <v>8</v>
      </c>
      <c r="F1489" s="569">
        <v>1</v>
      </c>
      <c r="G1489" s="590">
        <f>1+0.2+0.2</f>
        <v>1.4</v>
      </c>
      <c r="H1489" s="591"/>
      <c r="I1489" s="591">
        <v>0.2</v>
      </c>
      <c r="J1489" s="591">
        <f t="shared" si="105"/>
        <v>0.27999999999999997</v>
      </c>
      <c r="K1489" s="592"/>
    </row>
    <row r="1490" spans="1:11">
      <c r="A1490" s="568"/>
      <c r="B1490" s="593" t="s">
        <v>18</v>
      </c>
      <c r="C1490" s="589"/>
      <c r="D1490" s="578">
        <v>1</v>
      </c>
      <c r="E1490" s="579" t="s">
        <v>8</v>
      </c>
      <c r="F1490" s="569">
        <v>1</v>
      </c>
      <c r="G1490" s="590">
        <f>1.2+0.2+0.2</f>
        <v>1.5999999999999999</v>
      </c>
      <c r="H1490" s="591"/>
      <c r="I1490" s="591">
        <v>0.2</v>
      </c>
      <c r="J1490" s="591">
        <f t="shared" si="105"/>
        <v>0.32</v>
      </c>
      <c r="K1490" s="592"/>
    </row>
    <row r="1491" spans="1:11">
      <c r="A1491" s="568"/>
      <c r="B1491" s="593" t="s">
        <v>21</v>
      </c>
      <c r="C1491" s="589"/>
      <c r="D1491" s="578">
        <v>1</v>
      </c>
      <c r="E1491" s="579" t="s">
        <v>8</v>
      </c>
      <c r="F1491" s="569">
        <v>1</v>
      </c>
      <c r="G1491" s="590">
        <f>0.9+0.2+0.2</f>
        <v>1.3</v>
      </c>
      <c r="H1491" s="591"/>
      <c r="I1491" s="591">
        <v>0.2</v>
      </c>
      <c r="J1491" s="591">
        <f t="shared" si="105"/>
        <v>0.26</v>
      </c>
      <c r="K1491" s="592"/>
    </row>
    <row r="1492" spans="1:11">
      <c r="A1492" s="568"/>
      <c r="B1492" s="593" t="s">
        <v>612</v>
      </c>
      <c r="C1492" s="589"/>
      <c r="G1492" s="590"/>
      <c r="H1492" s="591"/>
      <c r="I1492" s="591"/>
      <c r="J1492" s="591"/>
      <c r="K1492" s="592"/>
    </row>
    <row r="1493" spans="1:11">
      <c r="A1493" s="568"/>
      <c r="B1493" s="593" t="s">
        <v>1196</v>
      </c>
      <c r="C1493" s="589"/>
      <c r="D1493" s="578">
        <v>1</v>
      </c>
      <c r="E1493" s="579" t="s">
        <v>8</v>
      </c>
      <c r="F1493" s="569">
        <v>13</v>
      </c>
      <c r="G1493" s="590">
        <f>0.75+0.2+0.2</f>
        <v>1.1499999999999999</v>
      </c>
      <c r="H1493" s="591"/>
      <c r="I1493" s="591">
        <v>0.2</v>
      </c>
      <c r="J1493" s="591">
        <f t="shared" ref="J1493" si="106">PRODUCT(D1493:I1493)</f>
        <v>2.99</v>
      </c>
      <c r="K1493" s="592"/>
    </row>
    <row r="1494" spans="1:11">
      <c r="A1494" s="568"/>
      <c r="B1494" s="593"/>
      <c r="C1494" s="589"/>
      <c r="G1494" s="590"/>
      <c r="H1494" s="591"/>
      <c r="I1494" s="591"/>
      <c r="J1494" s="605">
        <f>SUM(J1482:J1493)</f>
        <v>24.644000000000005</v>
      </c>
      <c r="K1494" s="592"/>
    </row>
    <row r="1495" spans="1:11">
      <c r="A1495" s="568"/>
      <c r="B1495" s="593"/>
      <c r="C1495" s="589"/>
      <c r="G1495" s="590"/>
      <c r="H1495" s="591"/>
      <c r="I1495" s="591"/>
      <c r="J1495" s="605">
        <f>ROUNDUP(J1494,0)</f>
        <v>25</v>
      </c>
      <c r="K1495" s="592" t="s">
        <v>9</v>
      </c>
    </row>
    <row r="1496" spans="1:11">
      <c r="A1496" s="568"/>
      <c r="B1496" s="584" t="s">
        <v>618</v>
      </c>
      <c r="C1496" s="577"/>
      <c r="G1496" s="612"/>
      <c r="H1496" s="598"/>
      <c r="I1496" s="598"/>
      <c r="J1496" s="598"/>
      <c r="K1496" s="581"/>
    </row>
    <row r="1497" spans="1:11">
      <c r="A1497" s="568"/>
      <c r="B1497" s="593" t="s">
        <v>1193</v>
      </c>
      <c r="C1497" s="577"/>
      <c r="D1497" s="578">
        <v>1</v>
      </c>
      <c r="E1497" s="579" t="s">
        <v>8</v>
      </c>
      <c r="F1497" s="569">
        <v>1</v>
      </c>
      <c r="G1497" s="612">
        <v>4.5999999999999996</v>
      </c>
      <c r="H1497" s="598">
        <v>0.6</v>
      </c>
      <c r="I1497" s="598"/>
      <c r="J1497" s="598">
        <f t="shared" ref="J1497" si="107">ROUNDUP(PRODUCT(D1497:I1497),2)</f>
        <v>2.76</v>
      </c>
      <c r="K1497" s="581"/>
    </row>
    <row r="1498" spans="1:11">
      <c r="A1498" s="568"/>
      <c r="B1498" s="593"/>
      <c r="C1498" s="577"/>
      <c r="G1498" s="621"/>
      <c r="H1498" s="594"/>
      <c r="I1498" s="598"/>
      <c r="J1498" s="605">
        <f>SUM(J1497:J1497)</f>
        <v>2.76</v>
      </c>
      <c r="K1498" s="592"/>
    </row>
    <row r="1499" spans="1:11">
      <c r="A1499" s="568"/>
      <c r="B1499" s="593"/>
      <c r="C1499" s="589"/>
      <c r="G1499" s="590"/>
      <c r="H1499" s="591"/>
      <c r="I1499" s="591"/>
      <c r="J1499" s="605">
        <f>ROUNDUP(J1498,0)</f>
        <v>3</v>
      </c>
      <c r="K1499" s="592" t="s">
        <v>9</v>
      </c>
    </row>
    <row r="1500" spans="1:11">
      <c r="A1500" s="568"/>
      <c r="B1500" s="593"/>
      <c r="C1500" s="589"/>
      <c r="G1500" s="590"/>
      <c r="H1500" s="591"/>
      <c r="I1500" s="591"/>
      <c r="J1500" s="591"/>
      <c r="K1500" s="592"/>
    </row>
    <row r="1501" spans="1:11">
      <c r="A1501" s="568"/>
      <c r="B1501" s="572" t="s">
        <v>58</v>
      </c>
      <c r="C1501" s="589"/>
      <c r="G1501" s="590"/>
      <c r="H1501" s="591"/>
      <c r="I1501" s="591"/>
      <c r="J1501" s="605">
        <f>J1478+J1476+J1462+J1499+J1495</f>
        <v>1140</v>
      </c>
      <c r="K1501" s="592" t="s">
        <v>9</v>
      </c>
    </row>
    <row r="1502" spans="1:11">
      <c r="A1502" s="568"/>
      <c r="B1502" s="572"/>
      <c r="C1502" s="589"/>
      <c r="G1502" s="590"/>
      <c r="H1502" s="591"/>
      <c r="I1502" s="591"/>
      <c r="J1502" s="605"/>
      <c r="K1502" s="592"/>
    </row>
    <row r="1503" spans="1:11">
      <c r="A1503" s="568"/>
      <c r="B1503" s="584" t="s">
        <v>1641</v>
      </c>
      <c r="C1503" s="589"/>
      <c r="G1503" s="590"/>
      <c r="H1503" s="591"/>
      <c r="I1503" s="591"/>
      <c r="J1503" s="591"/>
      <c r="K1503" s="592"/>
    </row>
    <row r="1504" spans="1:11" ht="36">
      <c r="A1504" s="568"/>
      <c r="B1504" s="593" t="s">
        <v>893</v>
      </c>
      <c r="C1504" s="589"/>
      <c r="D1504" s="578">
        <v>2</v>
      </c>
      <c r="E1504" s="579" t="s">
        <v>8</v>
      </c>
      <c r="F1504" s="569">
        <v>1</v>
      </c>
      <c r="G1504" s="740">
        <f>J1462</f>
        <v>610</v>
      </c>
      <c r="H1504" s="740"/>
      <c r="I1504" s="591"/>
      <c r="J1504" s="605">
        <f>PRODUCT(D1504:I1504)</f>
        <v>1220</v>
      </c>
      <c r="K1504" s="592"/>
    </row>
    <row r="1505" spans="1:11">
      <c r="A1505" s="568"/>
      <c r="B1505" s="593"/>
      <c r="C1505" s="589"/>
      <c r="G1505" s="590"/>
      <c r="H1505" s="591"/>
      <c r="I1505" s="591"/>
      <c r="J1505" s="591"/>
      <c r="K1505" s="592"/>
    </row>
    <row r="1506" spans="1:11" ht="36">
      <c r="A1506" s="568"/>
      <c r="B1506" s="593" t="s">
        <v>894</v>
      </c>
      <c r="C1506" s="589"/>
      <c r="D1506" s="578">
        <v>2</v>
      </c>
      <c r="E1506" s="579" t="s">
        <v>8</v>
      </c>
      <c r="F1506" s="569">
        <v>1</v>
      </c>
      <c r="G1506" s="740">
        <f>J1476</f>
        <v>451</v>
      </c>
      <c r="H1506" s="740"/>
      <c r="I1506" s="591"/>
      <c r="J1506" s="605">
        <f>PRODUCT(D1506:I1506)</f>
        <v>902</v>
      </c>
      <c r="K1506" s="592"/>
    </row>
    <row r="1507" spans="1:11">
      <c r="A1507" s="568"/>
      <c r="B1507" s="593"/>
      <c r="C1507" s="589"/>
      <c r="G1507" s="590"/>
      <c r="H1507" s="591"/>
      <c r="I1507" s="591"/>
      <c r="J1507" s="591"/>
      <c r="K1507" s="592"/>
    </row>
    <row r="1508" spans="1:11" ht="36">
      <c r="A1508" s="568"/>
      <c r="B1508" s="593" t="s">
        <v>895</v>
      </c>
      <c r="C1508" s="589"/>
      <c r="D1508" s="578">
        <v>2</v>
      </c>
      <c r="E1508" s="579" t="s">
        <v>8</v>
      </c>
      <c r="F1508" s="569">
        <v>1</v>
      </c>
      <c r="G1508" s="740">
        <f>J1478</f>
        <v>51</v>
      </c>
      <c r="H1508" s="740"/>
      <c r="I1508" s="591"/>
      <c r="J1508" s="605">
        <f>PRODUCT(D1508:I1508)</f>
        <v>102</v>
      </c>
      <c r="K1508" s="592"/>
    </row>
    <row r="1509" spans="1:11">
      <c r="A1509" s="568"/>
      <c r="B1509" s="593"/>
      <c r="C1509" s="589"/>
      <c r="G1509" s="590"/>
      <c r="H1509" s="591"/>
      <c r="I1509" s="591"/>
      <c r="J1509" s="591"/>
      <c r="K1509" s="592"/>
    </row>
    <row r="1510" spans="1:11" ht="36">
      <c r="A1510" s="568"/>
      <c r="B1510" s="593" t="s">
        <v>896</v>
      </c>
      <c r="C1510" s="589"/>
      <c r="D1510" s="578">
        <v>2</v>
      </c>
      <c r="E1510" s="579" t="s">
        <v>8</v>
      </c>
      <c r="F1510" s="569">
        <v>1</v>
      </c>
      <c r="G1510" s="740">
        <f>J1495</f>
        <v>25</v>
      </c>
      <c r="H1510" s="740"/>
      <c r="I1510" s="591"/>
      <c r="J1510" s="605">
        <f>PRODUCT(D1510:I1510)</f>
        <v>50</v>
      </c>
      <c r="K1510" s="592"/>
    </row>
    <row r="1511" spans="1:11">
      <c r="A1511" s="568"/>
      <c r="B1511" s="593"/>
      <c r="C1511" s="589"/>
      <c r="G1511" s="590"/>
      <c r="H1511" s="591"/>
      <c r="I1511" s="591"/>
      <c r="J1511" s="591"/>
      <c r="K1511" s="592"/>
    </row>
    <row r="1512" spans="1:11" ht="36">
      <c r="A1512" s="568"/>
      <c r="B1512" s="593" t="s">
        <v>1199</v>
      </c>
      <c r="C1512" s="589"/>
      <c r="D1512" s="578">
        <v>2</v>
      </c>
      <c r="E1512" s="579" t="s">
        <v>8</v>
      </c>
      <c r="F1512" s="569">
        <v>1</v>
      </c>
      <c r="G1512" s="725">
        <f>J1499</f>
        <v>3</v>
      </c>
      <c r="H1512" s="726"/>
      <c r="I1512" s="591"/>
      <c r="J1512" s="605">
        <f>PRODUCT(D1512:I1512)</f>
        <v>6</v>
      </c>
      <c r="K1512" s="592"/>
    </row>
    <row r="1513" spans="1:11">
      <c r="A1513" s="568"/>
      <c r="B1513" s="593"/>
      <c r="C1513" s="589"/>
      <c r="G1513" s="590"/>
      <c r="H1513" s="591"/>
      <c r="I1513" s="591"/>
      <c r="J1513" s="591"/>
      <c r="K1513" s="592"/>
    </row>
    <row r="1514" spans="1:11">
      <c r="A1514" s="568"/>
      <c r="B1514" s="572" t="s">
        <v>58</v>
      </c>
      <c r="C1514" s="589"/>
      <c r="G1514" s="590"/>
      <c r="H1514" s="591"/>
      <c r="I1514" s="591"/>
      <c r="J1514" s="605">
        <f>+J1510+J1508+J1506+J1504+J1512</f>
        <v>2280</v>
      </c>
      <c r="K1514" s="592" t="s">
        <v>9</v>
      </c>
    </row>
    <row r="1515" spans="1:11">
      <c r="A1515" s="568"/>
      <c r="B1515" s="631" t="s">
        <v>25</v>
      </c>
      <c r="C1515" s="589"/>
      <c r="G1515" s="590"/>
      <c r="H1515" s="591"/>
      <c r="I1515" s="591"/>
      <c r="J1515" s="605"/>
      <c r="K1515" s="592"/>
    </row>
    <row r="1516" spans="1:11">
      <c r="A1516" s="568"/>
      <c r="B1516" s="584" t="s">
        <v>627</v>
      </c>
      <c r="C1516" s="589"/>
      <c r="G1516" s="590"/>
      <c r="H1516" s="591"/>
      <c r="I1516" s="591"/>
      <c r="J1516" s="591"/>
      <c r="K1516" s="592"/>
    </row>
    <row r="1517" spans="1:11">
      <c r="A1517" s="568"/>
      <c r="B1517" s="593" t="s">
        <v>623</v>
      </c>
      <c r="C1517" s="589"/>
      <c r="D1517" s="578">
        <f>2*2</f>
        <v>4</v>
      </c>
      <c r="E1517" s="579" t="s">
        <v>8</v>
      </c>
      <c r="F1517" s="569">
        <v>1</v>
      </c>
      <c r="G1517" s="590">
        <v>3.7</v>
      </c>
      <c r="H1517" s="591"/>
      <c r="I1517" s="591">
        <v>0.6</v>
      </c>
      <c r="J1517" s="591">
        <f>PRODUCT(D1517:I1517)</f>
        <v>8.8800000000000008</v>
      </c>
      <c r="K1517" s="592"/>
    </row>
    <row r="1518" spans="1:11">
      <c r="A1518" s="568"/>
      <c r="B1518" s="593"/>
      <c r="C1518" s="589"/>
      <c r="D1518" s="578">
        <v>2</v>
      </c>
      <c r="E1518" s="579" t="s">
        <v>8</v>
      </c>
      <c r="F1518" s="569">
        <v>1</v>
      </c>
      <c r="G1518" s="590">
        <v>3.7</v>
      </c>
      <c r="H1518" s="591">
        <v>0.2</v>
      </c>
      <c r="I1518" s="591"/>
      <c r="J1518" s="591">
        <f t="shared" ref="J1518:J1538" si="108">PRODUCT(D1518:I1518)</f>
        <v>1.4800000000000002</v>
      </c>
      <c r="K1518" s="592"/>
    </row>
    <row r="1519" spans="1:11">
      <c r="A1519" s="568"/>
      <c r="B1519" s="593"/>
      <c r="C1519" s="589"/>
      <c r="D1519" s="578">
        <f>2*2</f>
        <v>4</v>
      </c>
      <c r="E1519" s="579" t="s">
        <v>8</v>
      </c>
      <c r="F1519" s="569">
        <v>1</v>
      </c>
      <c r="G1519" s="590">
        <v>7.3</v>
      </c>
      <c r="H1519" s="591"/>
      <c r="I1519" s="591">
        <v>0.6</v>
      </c>
      <c r="J1519" s="591">
        <f t="shared" si="108"/>
        <v>17.52</v>
      </c>
      <c r="K1519" s="592"/>
    </row>
    <row r="1520" spans="1:11">
      <c r="A1520" s="568"/>
      <c r="B1520" s="593"/>
      <c r="C1520" s="589"/>
      <c r="D1520" s="578">
        <v>2</v>
      </c>
      <c r="E1520" s="579" t="s">
        <v>8</v>
      </c>
      <c r="F1520" s="569">
        <v>1</v>
      </c>
      <c r="G1520" s="590">
        <v>7.3</v>
      </c>
      <c r="H1520" s="591">
        <v>0.2</v>
      </c>
      <c r="I1520" s="591"/>
      <c r="J1520" s="591">
        <f t="shared" si="108"/>
        <v>2.92</v>
      </c>
      <c r="K1520" s="592"/>
    </row>
    <row r="1521" spans="1:11">
      <c r="A1521" s="568"/>
      <c r="B1521" s="593"/>
      <c r="C1521" s="589"/>
      <c r="D1521" s="578">
        <v>2</v>
      </c>
      <c r="E1521" s="579" t="s">
        <v>8</v>
      </c>
      <c r="F1521" s="569">
        <v>1</v>
      </c>
      <c r="G1521" s="590">
        <v>5.2</v>
      </c>
      <c r="H1521" s="591"/>
      <c r="I1521" s="591">
        <v>0.6</v>
      </c>
      <c r="J1521" s="591">
        <f t="shared" si="108"/>
        <v>6.24</v>
      </c>
      <c r="K1521" s="592"/>
    </row>
    <row r="1522" spans="1:11">
      <c r="A1522" s="568"/>
      <c r="B1522" s="593"/>
      <c r="C1522" s="589"/>
      <c r="D1522" s="578">
        <v>1</v>
      </c>
      <c r="E1522" s="579" t="s">
        <v>8</v>
      </c>
      <c r="F1522" s="569">
        <v>1</v>
      </c>
      <c r="G1522" s="590">
        <v>5.2</v>
      </c>
      <c r="H1522" s="591">
        <v>0.2</v>
      </c>
      <c r="I1522" s="591"/>
      <c r="J1522" s="591">
        <f t="shared" si="108"/>
        <v>1.04</v>
      </c>
      <c r="K1522" s="592"/>
    </row>
    <row r="1523" spans="1:11">
      <c r="A1523" s="568"/>
      <c r="B1523" s="593"/>
      <c r="C1523" s="589"/>
      <c r="D1523" s="578">
        <v>2</v>
      </c>
      <c r="E1523" s="579" t="s">
        <v>8</v>
      </c>
      <c r="F1523" s="569">
        <v>1</v>
      </c>
      <c r="G1523" s="590">
        <v>1.2</v>
      </c>
      <c r="H1523" s="591"/>
      <c r="I1523" s="591">
        <v>0.6</v>
      </c>
      <c r="J1523" s="591">
        <f t="shared" si="108"/>
        <v>1.44</v>
      </c>
      <c r="K1523" s="592"/>
    </row>
    <row r="1524" spans="1:11">
      <c r="A1524" s="568"/>
      <c r="B1524" s="593"/>
      <c r="C1524" s="589"/>
      <c r="D1524" s="578">
        <v>1</v>
      </c>
      <c r="E1524" s="579" t="s">
        <v>8</v>
      </c>
      <c r="F1524" s="569">
        <v>1</v>
      </c>
      <c r="G1524" s="590">
        <v>1.2</v>
      </c>
      <c r="H1524" s="591">
        <v>0.2</v>
      </c>
      <c r="I1524" s="591"/>
      <c r="J1524" s="591">
        <f t="shared" si="108"/>
        <v>0.24</v>
      </c>
      <c r="K1524" s="592"/>
    </row>
    <row r="1525" spans="1:11">
      <c r="A1525" s="568"/>
      <c r="B1525" s="593"/>
      <c r="C1525" s="589"/>
      <c r="D1525" s="578">
        <f t="shared" ref="D1525:D1529" si="109">2*2</f>
        <v>4</v>
      </c>
      <c r="E1525" s="579" t="s">
        <v>8</v>
      </c>
      <c r="F1525" s="569">
        <v>1</v>
      </c>
      <c r="G1525" s="590">
        <v>2.2999999999999998</v>
      </c>
      <c r="H1525" s="591"/>
      <c r="I1525" s="591">
        <v>0.6</v>
      </c>
      <c r="J1525" s="591">
        <f t="shared" si="108"/>
        <v>5.52</v>
      </c>
      <c r="K1525" s="592"/>
    </row>
    <row r="1526" spans="1:11">
      <c r="A1526" s="568"/>
      <c r="B1526" s="593"/>
      <c r="C1526" s="589"/>
      <c r="D1526" s="578">
        <v>2</v>
      </c>
      <c r="E1526" s="579" t="s">
        <v>8</v>
      </c>
      <c r="F1526" s="569">
        <v>1</v>
      </c>
      <c r="G1526" s="590">
        <v>2.2999999999999998</v>
      </c>
      <c r="H1526" s="591">
        <v>0.2</v>
      </c>
      <c r="I1526" s="591"/>
      <c r="J1526" s="591">
        <f t="shared" si="108"/>
        <v>0.91999999999999993</v>
      </c>
      <c r="K1526" s="592"/>
    </row>
    <row r="1527" spans="1:11">
      <c r="A1527" s="568"/>
      <c r="B1527" s="593" t="s">
        <v>598</v>
      </c>
      <c r="C1527" s="589"/>
      <c r="D1527" s="578">
        <f t="shared" si="109"/>
        <v>4</v>
      </c>
      <c r="E1527" s="579" t="s">
        <v>8</v>
      </c>
      <c r="F1527" s="569">
        <v>1</v>
      </c>
      <c r="G1527" s="590">
        <v>3.7</v>
      </c>
      <c r="H1527" s="591"/>
      <c r="I1527" s="591">
        <v>0.6</v>
      </c>
      <c r="J1527" s="591">
        <f t="shared" si="108"/>
        <v>8.8800000000000008</v>
      </c>
      <c r="K1527" s="592"/>
    </row>
    <row r="1528" spans="1:11">
      <c r="A1528" s="568"/>
      <c r="B1528" s="593"/>
      <c r="C1528" s="589"/>
      <c r="D1528" s="578">
        <v>2</v>
      </c>
      <c r="E1528" s="579" t="s">
        <v>8</v>
      </c>
      <c r="F1528" s="569">
        <v>1</v>
      </c>
      <c r="G1528" s="590">
        <v>3.7</v>
      </c>
      <c r="H1528" s="591">
        <v>0.2</v>
      </c>
      <c r="I1528" s="591"/>
      <c r="J1528" s="591">
        <f t="shared" si="108"/>
        <v>1.4800000000000002</v>
      </c>
      <c r="K1528" s="592"/>
    </row>
    <row r="1529" spans="1:11">
      <c r="A1529" s="568"/>
      <c r="B1529" s="593"/>
      <c r="C1529" s="589"/>
      <c r="D1529" s="578">
        <f t="shared" si="109"/>
        <v>4</v>
      </c>
      <c r="E1529" s="579" t="s">
        <v>8</v>
      </c>
      <c r="F1529" s="569">
        <v>1</v>
      </c>
      <c r="G1529" s="590">
        <v>7.3</v>
      </c>
      <c r="H1529" s="591"/>
      <c r="I1529" s="591">
        <v>0.6</v>
      </c>
      <c r="J1529" s="591">
        <f t="shared" si="108"/>
        <v>17.52</v>
      </c>
      <c r="K1529" s="592"/>
    </row>
    <row r="1530" spans="1:11">
      <c r="A1530" s="568"/>
      <c r="B1530" s="593"/>
      <c r="C1530" s="589"/>
      <c r="D1530" s="578">
        <v>2</v>
      </c>
      <c r="E1530" s="579" t="s">
        <v>8</v>
      </c>
      <c r="F1530" s="569">
        <v>1</v>
      </c>
      <c r="G1530" s="590">
        <v>7.3</v>
      </c>
      <c r="H1530" s="591">
        <v>0.2</v>
      </c>
      <c r="I1530" s="591"/>
      <c r="J1530" s="591">
        <f t="shared" si="108"/>
        <v>2.92</v>
      </c>
      <c r="K1530" s="592"/>
    </row>
    <row r="1531" spans="1:11">
      <c r="A1531" s="568"/>
      <c r="B1531" s="593" t="s">
        <v>638</v>
      </c>
      <c r="C1531" s="589"/>
      <c r="D1531" s="578">
        <v>2</v>
      </c>
      <c r="E1531" s="579" t="s">
        <v>8</v>
      </c>
      <c r="F1531" s="569">
        <v>2</v>
      </c>
      <c r="G1531" s="590">
        <v>3.47</v>
      </c>
      <c r="H1531" s="591"/>
      <c r="I1531" s="591">
        <v>0.6</v>
      </c>
      <c r="J1531" s="591">
        <f t="shared" si="108"/>
        <v>8.3279999999999994</v>
      </c>
      <c r="K1531" s="592"/>
    </row>
    <row r="1532" spans="1:11">
      <c r="A1532" s="568"/>
      <c r="B1532" s="593"/>
      <c r="C1532" s="589"/>
      <c r="D1532" s="578">
        <v>1</v>
      </c>
      <c r="E1532" s="579" t="s">
        <v>8</v>
      </c>
      <c r="F1532" s="569">
        <v>2</v>
      </c>
      <c r="G1532" s="590">
        <v>3.47</v>
      </c>
      <c r="H1532" s="591">
        <v>0.2</v>
      </c>
      <c r="I1532" s="591"/>
      <c r="J1532" s="591">
        <f t="shared" si="108"/>
        <v>1.3880000000000001</v>
      </c>
      <c r="K1532" s="592"/>
    </row>
    <row r="1533" spans="1:11">
      <c r="A1533" s="568"/>
      <c r="B1533" s="593"/>
      <c r="C1533" s="589"/>
      <c r="D1533" s="578">
        <v>2</v>
      </c>
      <c r="E1533" s="579" t="s">
        <v>8</v>
      </c>
      <c r="F1533" s="569">
        <v>2</v>
      </c>
      <c r="G1533" s="590">
        <v>2.2000000000000002</v>
      </c>
      <c r="H1533" s="591"/>
      <c r="I1533" s="591">
        <v>0.6</v>
      </c>
      <c r="J1533" s="591">
        <f t="shared" si="108"/>
        <v>5.28</v>
      </c>
      <c r="K1533" s="592"/>
    </row>
    <row r="1534" spans="1:11">
      <c r="A1534" s="568"/>
      <c r="B1534" s="593"/>
      <c r="C1534" s="589"/>
      <c r="D1534" s="578">
        <v>1</v>
      </c>
      <c r="E1534" s="579" t="s">
        <v>8</v>
      </c>
      <c r="F1534" s="569">
        <v>2</v>
      </c>
      <c r="G1534" s="590">
        <v>2.2000000000000002</v>
      </c>
      <c r="H1534" s="591">
        <v>0.2</v>
      </c>
      <c r="I1534" s="591"/>
      <c r="J1534" s="591">
        <f t="shared" si="108"/>
        <v>0.88000000000000012</v>
      </c>
      <c r="K1534" s="592"/>
    </row>
    <row r="1535" spans="1:11">
      <c r="A1535" s="568"/>
      <c r="B1535" s="593"/>
      <c r="C1535" s="589"/>
      <c r="D1535" s="578">
        <v>2</v>
      </c>
      <c r="E1535" s="579" t="s">
        <v>8</v>
      </c>
      <c r="F1535" s="569">
        <v>2</v>
      </c>
      <c r="G1535" s="590">
        <v>5.47</v>
      </c>
      <c r="H1535" s="591"/>
      <c r="I1535" s="591">
        <v>0.6</v>
      </c>
      <c r="J1535" s="591">
        <f t="shared" si="108"/>
        <v>13.127999999999998</v>
      </c>
      <c r="K1535" s="592"/>
    </row>
    <row r="1536" spans="1:11">
      <c r="A1536" s="568"/>
      <c r="B1536" s="593"/>
      <c r="C1536" s="589"/>
      <c r="D1536" s="578">
        <v>1</v>
      </c>
      <c r="E1536" s="579" t="s">
        <v>8</v>
      </c>
      <c r="F1536" s="569">
        <v>2</v>
      </c>
      <c r="G1536" s="590">
        <v>5.47</v>
      </c>
      <c r="H1536" s="591">
        <v>0.2</v>
      </c>
      <c r="I1536" s="591"/>
      <c r="J1536" s="591">
        <f t="shared" si="108"/>
        <v>2.1880000000000002</v>
      </c>
      <c r="K1536" s="592"/>
    </row>
    <row r="1537" spans="1:11">
      <c r="A1537" s="568"/>
      <c r="B1537" s="593"/>
      <c r="C1537" s="589"/>
      <c r="D1537" s="578">
        <v>2</v>
      </c>
      <c r="E1537" s="579" t="s">
        <v>8</v>
      </c>
      <c r="F1537" s="569">
        <v>2</v>
      </c>
      <c r="G1537" s="590">
        <v>5.5</v>
      </c>
      <c r="H1537" s="591"/>
      <c r="I1537" s="591">
        <v>0.6</v>
      </c>
      <c r="J1537" s="591">
        <f t="shared" si="108"/>
        <v>13.2</v>
      </c>
      <c r="K1537" s="592"/>
    </row>
    <row r="1538" spans="1:11">
      <c r="A1538" s="568"/>
      <c r="B1538" s="593"/>
      <c r="C1538" s="589"/>
      <c r="D1538" s="578">
        <v>1</v>
      </c>
      <c r="E1538" s="579" t="s">
        <v>8</v>
      </c>
      <c r="F1538" s="569">
        <v>2</v>
      </c>
      <c r="G1538" s="590">
        <v>5.5</v>
      </c>
      <c r="H1538" s="591">
        <v>0.2</v>
      </c>
      <c r="I1538" s="591"/>
      <c r="J1538" s="591">
        <f t="shared" si="108"/>
        <v>2.2000000000000002</v>
      </c>
      <c r="K1538" s="592"/>
    </row>
    <row r="1539" spans="1:11">
      <c r="A1539" s="568"/>
      <c r="B1539" s="593"/>
      <c r="C1539" s="589"/>
      <c r="G1539" s="590"/>
      <c r="H1539" s="591"/>
      <c r="I1539" s="591"/>
      <c r="J1539" s="605">
        <f>SUM(J1517:J1538)</f>
        <v>123.59200000000001</v>
      </c>
      <c r="K1539" s="592"/>
    </row>
    <row r="1540" spans="1:11">
      <c r="A1540" s="568"/>
      <c r="B1540" s="593"/>
      <c r="C1540" s="589"/>
      <c r="G1540" s="590"/>
      <c r="H1540" s="591"/>
      <c r="I1540" s="591"/>
      <c r="J1540" s="605">
        <f>ROUNDUP(J1539,0)</f>
        <v>124</v>
      </c>
      <c r="K1540" s="592" t="s">
        <v>9</v>
      </c>
    </row>
    <row r="1541" spans="1:11">
      <c r="A1541" s="568"/>
      <c r="B1541" s="584" t="s">
        <v>499</v>
      </c>
      <c r="C1541" s="589"/>
      <c r="G1541" s="590"/>
      <c r="H1541" s="591"/>
      <c r="I1541" s="591"/>
      <c r="J1541" s="591"/>
      <c r="K1541" s="592"/>
    </row>
    <row r="1542" spans="1:11">
      <c r="A1542" s="568"/>
      <c r="B1542" s="593" t="s">
        <v>624</v>
      </c>
      <c r="C1542" s="589"/>
      <c r="D1542" s="578">
        <v>1</v>
      </c>
      <c r="E1542" s="579" t="s">
        <v>8</v>
      </c>
      <c r="F1542" s="569">
        <v>2</v>
      </c>
      <c r="G1542" s="590">
        <v>3.3</v>
      </c>
      <c r="H1542" s="591">
        <v>6.9</v>
      </c>
      <c r="I1542" s="591"/>
      <c r="J1542" s="591">
        <f>PRODUCT(D1542:I1542)</f>
        <v>45.54</v>
      </c>
      <c r="K1542" s="592"/>
    </row>
    <row r="1543" spans="1:11">
      <c r="A1543" s="568"/>
      <c r="B1543" s="593" t="s">
        <v>625</v>
      </c>
      <c r="C1543" s="589"/>
      <c r="D1543" s="578">
        <v>1</v>
      </c>
      <c r="E1543" s="579" t="s">
        <v>8</v>
      </c>
      <c r="F1543" s="569">
        <v>1</v>
      </c>
      <c r="G1543" s="725">
        <v>12.8</v>
      </c>
      <c r="H1543" s="726"/>
      <c r="I1543" s="591"/>
      <c r="J1543" s="591">
        <f t="shared" ref="J1543:J1544" si="110">PRODUCT(D1543:I1543)</f>
        <v>12.8</v>
      </c>
      <c r="K1543" s="592"/>
    </row>
    <row r="1544" spans="1:11">
      <c r="A1544" s="568"/>
      <c r="B1544" s="593" t="s">
        <v>626</v>
      </c>
      <c r="C1544" s="589"/>
      <c r="D1544" s="578">
        <v>1</v>
      </c>
      <c r="E1544" s="579" t="s">
        <v>8</v>
      </c>
      <c r="F1544" s="569">
        <v>1</v>
      </c>
      <c r="G1544" s="725">
        <v>12.8</v>
      </c>
      <c r="H1544" s="726"/>
      <c r="I1544" s="591"/>
      <c r="J1544" s="591">
        <f t="shared" si="110"/>
        <v>12.8</v>
      </c>
      <c r="K1544" s="592"/>
    </row>
    <row r="1545" spans="1:11">
      <c r="A1545" s="568"/>
      <c r="B1545" s="593" t="s">
        <v>1375</v>
      </c>
      <c r="C1545" s="606"/>
      <c r="D1545" s="578">
        <v>1</v>
      </c>
      <c r="E1545" s="579" t="s">
        <v>8</v>
      </c>
      <c r="F1545" s="569">
        <v>1</v>
      </c>
      <c r="G1545" s="556">
        <v>2.2000000000000002</v>
      </c>
      <c r="H1545" s="556">
        <v>4</v>
      </c>
      <c r="I1545" s="568"/>
      <c r="J1545" s="597">
        <f>PRODUCT(D1545:I1545)</f>
        <v>8.8000000000000007</v>
      </c>
      <c r="K1545" s="592"/>
    </row>
    <row r="1546" spans="1:11">
      <c r="A1546" s="568"/>
      <c r="B1546" s="593" t="s">
        <v>1376</v>
      </c>
      <c r="C1546" s="606"/>
      <c r="D1546" s="578">
        <v>1</v>
      </c>
      <c r="E1546" s="579" t="s">
        <v>8</v>
      </c>
      <c r="F1546" s="569">
        <v>1</v>
      </c>
      <c r="G1546" s="556">
        <v>2.2000000000000002</v>
      </c>
      <c r="H1546" s="556">
        <v>4</v>
      </c>
      <c r="I1546" s="568"/>
      <c r="J1546" s="597">
        <f t="shared" ref="J1546:J1547" si="111">PRODUCT(D1546:I1546)</f>
        <v>8.8000000000000007</v>
      </c>
      <c r="K1546" s="592"/>
    </row>
    <row r="1547" spans="1:11">
      <c r="A1547" s="568"/>
      <c r="B1547" s="593" t="s">
        <v>1349</v>
      </c>
      <c r="C1547" s="606"/>
      <c r="D1547" s="578">
        <v>-2</v>
      </c>
      <c r="E1547" s="579" t="s">
        <v>8</v>
      </c>
      <c r="F1547" s="569">
        <v>1</v>
      </c>
      <c r="G1547" s="556">
        <v>0.6</v>
      </c>
      <c r="H1547" s="556">
        <v>0.6</v>
      </c>
      <c r="I1547" s="568"/>
      <c r="J1547" s="597">
        <f t="shared" si="111"/>
        <v>-0.72</v>
      </c>
      <c r="K1547" s="592"/>
    </row>
    <row r="1548" spans="1:11">
      <c r="A1548" s="568"/>
      <c r="B1548" s="593"/>
      <c r="C1548" s="589"/>
      <c r="G1548" s="590"/>
      <c r="H1548" s="591"/>
      <c r="I1548" s="591"/>
      <c r="J1548" s="605">
        <f>SUM(J1542:J1547)</f>
        <v>88.02</v>
      </c>
      <c r="K1548" s="592"/>
    </row>
    <row r="1549" spans="1:11">
      <c r="A1549" s="568"/>
      <c r="B1549" s="593"/>
      <c r="C1549" s="589"/>
      <c r="G1549" s="590"/>
      <c r="H1549" s="591"/>
      <c r="I1549" s="591"/>
      <c r="J1549" s="605">
        <f>ROUNDUP(J1548,0)</f>
        <v>89</v>
      </c>
      <c r="K1549" s="592" t="s">
        <v>9</v>
      </c>
    </row>
    <row r="1550" spans="1:11">
      <c r="A1550" s="568"/>
      <c r="B1550" s="584" t="s">
        <v>62</v>
      </c>
      <c r="C1550" s="589"/>
      <c r="G1550" s="590"/>
      <c r="H1550" s="591"/>
      <c r="I1550" s="591"/>
      <c r="J1550" s="605"/>
      <c r="K1550" s="592"/>
    </row>
    <row r="1551" spans="1:11">
      <c r="A1551" s="568"/>
      <c r="B1551" s="593" t="s">
        <v>14</v>
      </c>
      <c r="C1551" s="589"/>
      <c r="D1551" s="578">
        <v>1</v>
      </c>
      <c r="E1551" s="579" t="s">
        <v>8</v>
      </c>
      <c r="F1551" s="569">
        <v>2</v>
      </c>
      <c r="G1551" s="612">
        <v>7.3</v>
      </c>
      <c r="H1551" s="598"/>
      <c r="I1551" s="598">
        <v>0.2</v>
      </c>
      <c r="J1551" s="591">
        <f>PRODUCT(D1551:I1551)</f>
        <v>2.92</v>
      </c>
      <c r="K1551" s="592"/>
    </row>
    <row r="1552" spans="1:11">
      <c r="A1552" s="568"/>
      <c r="B1552" s="593"/>
      <c r="C1552" s="589"/>
      <c r="D1552" s="578">
        <v>1</v>
      </c>
      <c r="E1552" s="579" t="s">
        <v>8</v>
      </c>
      <c r="F1552" s="569">
        <v>2</v>
      </c>
      <c r="G1552" s="612">
        <v>3.7</v>
      </c>
      <c r="H1552" s="598"/>
      <c r="I1552" s="598">
        <v>0.2</v>
      </c>
      <c r="J1552" s="591">
        <f>PRODUCT(D1552:I1552)</f>
        <v>1.4800000000000002</v>
      </c>
      <c r="K1552" s="592"/>
    </row>
    <row r="1553" spans="1:11">
      <c r="A1553" s="568"/>
      <c r="B1553" s="593"/>
      <c r="C1553" s="589"/>
      <c r="G1553" s="590"/>
      <c r="H1553" s="591"/>
      <c r="I1553" s="591"/>
      <c r="J1553" s="605">
        <f>SUM(J1551:J1552)</f>
        <v>4.4000000000000004</v>
      </c>
      <c r="K1553" s="592"/>
    </row>
    <row r="1554" spans="1:11">
      <c r="A1554" s="568"/>
      <c r="B1554" s="593"/>
      <c r="C1554" s="589"/>
      <c r="G1554" s="590"/>
      <c r="H1554" s="591"/>
      <c r="I1554" s="591"/>
      <c r="J1554" s="605">
        <f>ROUNDUP(J1553,0)</f>
        <v>5</v>
      </c>
      <c r="K1554" s="592" t="s">
        <v>9</v>
      </c>
    </row>
    <row r="1555" spans="1:11">
      <c r="A1555" s="568"/>
      <c r="B1555" s="576" t="s">
        <v>633</v>
      </c>
      <c r="C1555" s="589"/>
      <c r="G1555" s="590"/>
      <c r="H1555" s="591"/>
      <c r="I1555" s="591"/>
      <c r="J1555" s="591"/>
      <c r="K1555" s="592"/>
    </row>
    <row r="1556" spans="1:11">
      <c r="A1556" s="568"/>
      <c r="B1556" s="593" t="s">
        <v>503</v>
      </c>
      <c r="C1556" s="589"/>
      <c r="D1556" s="578">
        <v>1</v>
      </c>
      <c r="E1556" s="579" t="s">
        <v>8</v>
      </c>
      <c r="F1556" s="569">
        <v>1</v>
      </c>
      <c r="G1556" s="590">
        <v>2.5</v>
      </c>
      <c r="H1556" s="591">
        <v>1</v>
      </c>
      <c r="I1556" s="591"/>
      <c r="J1556" s="591">
        <f>PRODUCT(D1556:I1556)</f>
        <v>2.5</v>
      </c>
      <c r="K1556" s="592"/>
    </row>
    <row r="1557" spans="1:11">
      <c r="A1557" s="568"/>
      <c r="B1557" s="593" t="s">
        <v>610</v>
      </c>
      <c r="C1557" s="589"/>
      <c r="D1557" s="578">
        <v>1</v>
      </c>
      <c r="E1557" s="579" t="s">
        <v>8</v>
      </c>
      <c r="F1557" s="569">
        <v>1</v>
      </c>
      <c r="G1557" s="590">
        <v>1.5</v>
      </c>
      <c r="H1557" s="591">
        <v>1</v>
      </c>
      <c r="I1557" s="591"/>
      <c r="J1557" s="591">
        <f>PRODUCT(D1557:I1557)</f>
        <v>1.5</v>
      </c>
      <c r="K1557" s="592"/>
    </row>
    <row r="1558" spans="1:11">
      <c r="A1558" s="568"/>
      <c r="B1558" s="593" t="s">
        <v>501</v>
      </c>
      <c r="C1558" s="589"/>
      <c r="D1558" s="578">
        <v>1</v>
      </c>
      <c r="E1558" s="579" t="s">
        <v>8</v>
      </c>
      <c r="F1558" s="569">
        <v>1</v>
      </c>
      <c r="G1558" s="590">
        <v>1</v>
      </c>
      <c r="H1558" s="591"/>
      <c r="I1558" s="591">
        <v>0.6</v>
      </c>
      <c r="J1558" s="591">
        <f>PRODUCT(D1558:I1558)</f>
        <v>0.6</v>
      </c>
      <c r="K1558" s="592"/>
    </row>
    <row r="1559" spans="1:11">
      <c r="A1559" s="568"/>
      <c r="B1559" s="593" t="s">
        <v>500</v>
      </c>
      <c r="C1559" s="589"/>
      <c r="D1559" s="578">
        <v>0.5</v>
      </c>
      <c r="E1559" s="579" t="s">
        <v>8</v>
      </c>
      <c r="F1559" s="569">
        <v>8</v>
      </c>
      <c r="G1559" s="590">
        <v>1</v>
      </c>
      <c r="H1559" s="591"/>
      <c r="I1559" s="591">
        <v>0.15</v>
      </c>
      <c r="J1559" s="591">
        <f>PRODUCT(D1559:I1559)</f>
        <v>0.6</v>
      </c>
      <c r="K1559" s="592"/>
    </row>
    <row r="1560" spans="1:11">
      <c r="A1560" s="568"/>
      <c r="B1560" s="593"/>
      <c r="C1560" s="589"/>
      <c r="G1560" s="590"/>
      <c r="H1560" s="591"/>
      <c r="I1560" s="591"/>
      <c r="J1560" s="605">
        <f>SUM(J1556:J1559)</f>
        <v>5.1999999999999993</v>
      </c>
      <c r="K1560" s="592"/>
    </row>
    <row r="1561" spans="1:11">
      <c r="A1561" s="568"/>
      <c r="B1561" s="593"/>
      <c r="C1561" s="589"/>
      <c r="G1561" s="590"/>
      <c r="H1561" s="591"/>
      <c r="I1561" s="591"/>
      <c r="J1561" s="605">
        <f>ROUNDUP(J1560,0)</f>
        <v>6</v>
      </c>
      <c r="K1561" s="592" t="s">
        <v>9</v>
      </c>
    </row>
    <row r="1562" spans="1:11">
      <c r="A1562" s="568"/>
      <c r="B1562" s="593"/>
      <c r="C1562" s="589"/>
      <c r="G1562" s="590"/>
      <c r="H1562" s="591"/>
      <c r="I1562" s="591"/>
      <c r="J1562" s="591"/>
      <c r="K1562" s="592"/>
    </row>
    <row r="1563" spans="1:11">
      <c r="A1563" s="568"/>
      <c r="B1563" s="572" t="s">
        <v>58</v>
      </c>
      <c r="C1563" s="589"/>
      <c r="G1563" s="590"/>
      <c r="H1563" s="591"/>
      <c r="I1563" s="591"/>
      <c r="J1563" s="605">
        <f>J1561+J1549+J1540+J1554</f>
        <v>224</v>
      </c>
      <c r="K1563" s="592" t="s">
        <v>9</v>
      </c>
    </row>
    <row r="1564" spans="1:11">
      <c r="A1564" s="568"/>
      <c r="B1564" s="593"/>
      <c r="C1564" s="589"/>
      <c r="G1564" s="590"/>
      <c r="H1564" s="591"/>
      <c r="I1564" s="591"/>
      <c r="J1564" s="591"/>
      <c r="K1564" s="592"/>
    </row>
    <row r="1565" spans="1:11">
      <c r="A1565" s="568"/>
      <c r="B1565" s="572" t="s">
        <v>636</v>
      </c>
      <c r="C1565" s="589"/>
      <c r="G1565" s="590"/>
      <c r="H1565" s="591"/>
      <c r="I1565" s="591"/>
      <c r="J1565" s="605">
        <f>J1563+J1514+J1501+J1368</f>
        <v>5020</v>
      </c>
      <c r="K1565" s="592" t="s">
        <v>9</v>
      </c>
    </row>
    <row r="1566" spans="1:11">
      <c r="A1566" s="568"/>
      <c r="B1566" s="593"/>
      <c r="C1566" s="589"/>
      <c r="G1566" s="590"/>
      <c r="H1566" s="591"/>
      <c r="I1566" s="591"/>
      <c r="J1566" s="605"/>
      <c r="K1566" s="592"/>
    </row>
    <row r="1567" spans="1:11" ht="39" customHeight="1">
      <c r="A1567" s="568" t="s">
        <v>69</v>
      </c>
      <c r="B1567" s="733" t="str">
        <f>'BOQ-C&amp;I'!C55</f>
        <v>For plane surfaces such as rectangular, square columns and chamfered sunshades, top and bottom slab of boxing, kitchen platform, loft and such other structural members</v>
      </c>
      <c r="C1567" s="733"/>
      <c r="D1567" s="733"/>
      <c r="E1567" s="733"/>
      <c r="F1567" s="733"/>
      <c r="G1567" s="733"/>
      <c r="H1567" s="733"/>
      <c r="I1567" s="733"/>
      <c r="J1567" s="733"/>
      <c r="K1567" s="733"/>
    </row>
    <row r="1568" spans="1:11">
      <c r="A1568" s="568"/>
      <c r="B1568" s="584" t="s">
        <v>1587</v>
      </c>
      <c r="C1568" s="589"/>
      <c r="G1568" s="590"/>
      <c r="H1568" s="591"/>
      <c r="I1568" s="591"/>
      <c r="J1568" s="591"/>
      <c r="K1568" s="592"/>
    </row>
    <row r="1569" spans="1:11">
      <c r="A1569" s="568"/>
      <c r="B1569" s="593" t="s">
        <v>1112</v>
      </c>
      <c r="C1569" s="589"/>
      <c r="D1569" s="578">
        <v>2</v>
      </c>
      <c r="E1569" s="579" t="s">
        <v>8</v>
      </c>
      <c r="F1569" s="569">
        <v>7</v>
      </c>
      <c r="G1569" s="590">
        <v>0.2</v>
      </c>
      <c r="H1569" s="591"/>
      <c r="I1569" s="591">
        <f>2-0.75+0.45</f>
        <v>1.7</v>
      </c>
      <c r="J1569" s="597">
        <f t="shared" ref="J1569:J1601" si="112">PRODUCT(D1569:I1569)</f>
        <v>4.7600000000000007</v>
      </c>
      <c r="K1569" s="592"/>
    </row>
    <row r="1570" spans="1:11">
      <c r="A1570" s="568"/>
      <c r="B1570" s="593"/>
      <c r="C1570" s="589"/>
      <c r="D1570" s="578">
        <v>2</v>
      </c>
      <c r="E1570" s="579" t="s">
        <v>8</v>
      </c>
      <c r="F1570" s="569">
        <v>7</v>
      </c>
      <c r="G1570" s="590"/>
      <c r="H1570" s="591">
        <v>1.2</v>
      </c>
      <c r="I1570" s="591">
        <f>2-0.75+0.45</f>
        <v>1.7</v>
      </c>
      <c r="J1570" s="597">
        <f t="shared" ref="J1570" si="113">PRODUCT(D1570:I1570)</f>
        <v>28.56</v>
      </c>
      <c r="K1570" s="592"/>
    </row>
    <row r="1571" spans="1:11">
      <c r="A1571" s="568"/>
      <c r="B1571" s="593" t="s">
        <v>1113</v>
      </c>
      <c r="C1571" s="589"/>
      <c r="D1571" s="578">
        <v>2</v>
      </c>
      <c r="E1571" s="579" t="s">
        <v>8</v>
      </c>
      <c r="F1571" s="569">
        <v>2</v>
      </c>
      <c r="G1571" s="590">
        <v>0.2</v>
      </c>
      <c r="H1571" s="591"/>
      <c r="I1571" s="591">
        <f>2-0.7+0.45</f>
        <v>1.75</v>
      </c>
      <c r="J1571" s="597">
        <f t="shared" si="112"/>
        <v>1.4000000000000001</v>
      </c>
      <c r="K1571" s="592"/>
    </row>
    <row r="1572" spans="1:11">
      <c r="A1572" s="568"/>
      <c r="B1572" s="593"/>
      <c r="C1572" s="589"/>
      <c r="D1572" s="578">
        <v>2</v>
      </c>
      <c r="E1572" s="579" t="s">
        <v>8</v>
      </c>
      <c r="F1572" s="569">
        <v>2</v>
      </c>
      <c r="G1572" s="590"/>
      <c r="H1572" s="591">
        <v>1.2</v>
      </c>
      <c r="I1572" s="591">
        <f>2-0.7+0.45</f>
        <v>1.75</v>
      </c>
      <c r="J1572" s="597">
        <f t="shared" ref="J1572" si="114">PRODUCT(D1572:I1572)</f>
        <v>8.4</v>
      </c>
      <c r="K1572" s="592"/>
    </row>
    <row r="1573" spans="1:11">
      <c r="A1573" s="568"/>
      <c r="B1573" s="593" t="s">
        <v>1114</v>
      </c>
      <c r="C1573" s="589"/>
      <c r="D1573" s="578">
        <v>2</v>
      </c>
      <c r="E1573" s="579" t="s">
        <v>8</v>
      </c>
      <c r="F1573" s="569">
        <v>4</v>
      </c>
      <c r="G1573" s="590">
        <v>0.2</v>
      </c>
      <c r="H1573" s="591"/>
      <c r="I1573" s="591">
        <f>2-0.7+0.45</f>
        <v>1.75</v>
      </c>
      <c r="J1573" s="597">
        <f t="shared" si="112"/>
        <v>2.8000000000000003</v>
      </c>
      <c r="K1573" s="592"/>
    </row>
    <row r="1574" spans="1:11">
      <c r="A1574" s="568"/>
      <c r="B1574" s="593"/>
      <c r="C1574" s="589"/>
      <c r="D1574" s="578">
        <v>2</v>
      </c>
      <c r="E1574" s="579" t="s">
        <v>8</v>
      </c>
      <c r="F1574" s="569">
        <v>4</v>
      </c>
      <c r="G1574" s="590"/>
      <c r="H1574" s="591">
        <v>1</v>
      </c>
      <c r="I1574" s="591">
        <f>2-0.7+0.45</f>
        <v>1.75</v>
      </c>
      <c r="J1574" s="597">
        <f t="shared" ref="J1574" si="115">PRODUCT(D1574:I1574)</f>
        <v>14</v>
      </c>
      <c r="K1574" s="592"/>
    </row>
    <row r="1575" spans="1:11">
      <c r="A1575" s="568"/>
      <c r="B1575" s="593" t="s">
        <v>1115</v>
      </c>
      <c r="C1575" s="589"/>
      <c r="D1575" s="578">
        <v>2</v>
      </c>
      <c r="E1575" s="579" t="s">
        <v>8</v>
      </c>
      <c r="F1575" s="569">
        <v>2</v>
      </c>
      <c r="G1575" s="590">
        <v>0.2</v>
      </c>
      <c r="H1575" s="591"/>
      <c r="I1575" s="591">
        <f>2-0.6+0.45</f>
        <v>1.8499999999999999</v>
      </c>
      <c r="J1575" s="597">
        <f t="shared" si="112"/>
        <v>1.48</v>
      </c>
      <c r="K1575" s="592"/>
    </row>
    <row r="1576" spans="1:11">
      <c r="A1576" s="568"/>
      <c r="B1576" s="593"/>
      <c r="C1576" s="589"/>
      <c r="D1576" s="578">
        <v>2</v>
      </c>
      <c r="E1576" s="579" t="s">
        <v>8</v>
      </c>
      <c r="F1576" s="569">
        <v>2</v>
      </c>
      <c r="G1576" s="590"/>
      <c r="H1576" s="591">
        <v>1</v>
      </c>
      <c r="I1576" s="591">
        <f>2-0.6+0.45</f>
        <v>1.8499999999999999</v>
      </c>
      <c r="J1576" s="597">
        <f t="shared" ref="J1576" si="116">PRODUCT(D1576:I1576)</f>
        <v>7.3999999999999995</v>
      </c>
      <c r="K1576" s="592"/>
    </row>
    <row r="1577" spans="1:11">
      <c r="A1577" s="568"/>
      <c r="B1577" s="593" t="s">
        <v>1116</v>
      </c>
      <c r="C1577" s="589"/>
      <c r="D1577" s="578">
        <v>2</v>
      </c>
      <c r="E1577" s="579" t="s">
        <v>8</v>
      </c>
      <c r="F1577" s="569">
        <f>4+5</f>
        <v>9</v>
      </c>
      <c r="G1577" s="590">
        <v>0.2</v>
      </c>
      <c r="H1577" s="591"/>
      <c r="I1577" s="591">
        <f>2-0.7+0.45</f>
        <v>1.75</v>
      </c>
      <c r="J1577" s="597">
        <f t="shared" si="112"/>
        <v>6.3</v>
      </c>
      <c r="K1577" s="592"/>
    </row>
    <row r="1578" spans="1:11">
      <c r="A1578" s="568"/>
      <c r="B1578" s="593"/>
      <c r="C1578" s="589"/>
      <c r="D1578" s="578">
        <v>2</v>
      </c>
      <c r="E1578" s="579" t="s">
        <v>8</v>
      </c>
      <c r="F1578" s="569">
        <f>4+5</f>
        <v>9</v>
      </c>
      <c r="G1578" s="590"/>
      <c r="H1578" s="591">
        <v>0.9</v>
      </c>
      <c r="I1578" s="591">
        <f>2-0.7+0.45</f>
        <v>1.75</v>
      </c>
      <c r="J1578" s="597">
        <f t="shared" ref="J1578" si="117">PRODUCT(D1578:I1578)</f>
        <v>28.349999999999998</v>
      </c>
      <c r="K1578" s="592"/>
    </row>
    <row r="1579" spans="1:11">
      <c r="A1579" s="568"/>
      <c r="B1579" s="593" t="s">
        <v>1117</v>
      </c>
      <c r="C1579" s="589"/>
      <c r="D1579" s="578">
        <v>2</v>
      </c>
      <c r="E1579" s="579" t="s">
        <v>8</v>
      </c>
      <c r="F1579" s="569">
        <v>3</v>
      </c>
      <c r="G1579" s="590">
        <v>0.2</v>
      </c>
      <c r="H1579" s="591"/>
      <c r="I1579" s="591">
        <f>2-0.5+0.45</f>
        <v>1.95</v>
      </c>
      <c r="J1579" s="597">
        <f t="shared" si="112"/>
        <v>2.3400000000000003</v>
      </c>
      <c r="K1579" s="592"/>
    </row>
    <row r="1580" spans="1:11">
      <c r="A1580" s="568"/>
      <c r="B1580" s="593"/>
      <c r="C1580" s="589"/>
      <c r="D1580" s="578">
        <v>2</v>
      </c>
      <c r="E1580" s="579" t="s">
        <v>8</v>
      </c>
      <c r="F1580" s="569">
        <v>3</v>
      </c>
      <c r="G1580" s="590"/>
      <c r="H1580" s="591">
        <v>0.9</v>
      </c>
      <c r="I1580" s="591">
        <f>2-0.5+0.45</f>
        <v>1.95</v>
      </c>
      <c r="J1580" s="597">
        <f t="shared" ref="J1580" si="118">PRODUCT(D1580:I1580)</f>
        <v>10.530000000000001</v>
      </c>
      <c r="K1580" s="592"/>
    </row>
    <row r="1581" spans="1:11">
      <c r="A1581" s="568"/>
      <c r="B1581" s="593" t="s">
        <v>1118</v>
      </c>
      <c r="C1581" s="589"/>
      <c r="D1581" s="578">
        <v>2</v>
      </c>
      <c r="E1581" s="579" t="s">
        <v>8</v>
      </c>
      <c r="F1581" s="569">
        <f>3+2</f>
        <v>5</v>
      </c>
      <c r="G1581" s="590">
        <v>0.2</v>
      </c>
      <c r="H1581" s="591"/>
      <c r="I1581" s="591">
        <f>2-0.6+0.45</f>
        <v>1.8499999999999999</v>
      </c>
      <c r="J1581" s="597">
        <f t="shared" si="112"/>
        <v>3.6999999999999997</v>
      </c>
      <c r="K1581" s="592"/>
    </row>
    <row r="1582" spans="1:11">
      <c r="A1582" s="568"/>
      <c r="B1582" s="593"/>
      <c r="C1582" s="589"/>
      <c r="D1582" s="578">
        <v>2</v>
      </c>
      <c r="E1582" s="579" t="s">
        <v>8</v>
      </c>
      <c r="F1582" s="569">
        <f>3+2</f>
        <v>5</v>
      </c>
      <c r="G1582" s="590"/>
      <c r="H1582" s="591">
        <v>0.8</v>
      </c>
      <c r="I1582" s="591">
        <f>2-0.6+0.45</f>
        <v>1.8499999999999999</v>
      </c>
      <c r="J1582" s="597">
        <f t="shared" ref="J1582" si="119">PRODUCT(D1582:I1582)</f>
        <v>14.799999999999999</v>
      </c>
      <c r="K1582" s="592"/>
    </row>
    <row r="1583" spans="1:11">
      <c r="A1583" s="568"/>
      <c r="B1583" s="593" t="s">
        <v>1119</v>
      </c>
      <c r="C1583" s="589"/>
      <c r="D1583" s="578">
        <v>2</v>
      </c>
      <c r="E1583" s="579" t="s">
        <v>8</v>
      </c>
      <c r="F1583" s="569">
        <v>7</v>
      </c>
      <c r="G1583" s="590">
        <v>0.2</v>
      </c>
      <c r="H1583" s="591"/>
      <c r="I1583" s="591">
        <f>2-0.8+0.45</f>
        <v>1.65</v>
      </c>
      <c r="J1583" s="597">
        <f t="shared" si="112"/>
        <v>4.62</v>
      </c>
      <c r="K1583" s="592"/>
    </row>
    <row r="1584" spans="1:11">
      <c r="A1584" s="568"/>
      <c r="B1584" s="593"/>
      <c r="C1584" s="589"/>
      <c r="D1584" s="578">
        <v>2</v>
      </c>
      <c r="E1584" s="579" t="s">
        <v>8</v>
      </c>
      <c r="F1584" s="569">
        <v>7</v>
      </c>
      <c r="G1584" s="590"/>
      <c r="H1584" s="591">
        <v>0.75</v>
      </c>
      <c r="I1584" s="591">
        <f>2-0.8+0.45</f>
        <v>1.65</v>
      </c>
      <c r="J1584" s="597">
        <f t="shared" ref="J1584" si="120">PRODUCT(D1584:I1584)</f>
        <v>17.324999999999999</v>
      </c>
      <c r="K1584" s="592"/>
    </row>
    <row r="1585" spans="1:11">
      <c r="A1585" s="568"/>
      <c r="B1585" s="593" t="s">
        <v>1120</v>
      </c>
      <c r="C1585" s="589"/>
      <c r="D1585" s="578">
        <v>2</v>
      </c>
      <c r="E1585" s="579" t="s">
        <v>8</v>
      </c>
      <c r="F1585" s="569">
        <f>2</f>
        <v>2</v>
      </c>
      <c r="G1585" s="590">
        <v>0.2</v>
      </c>
      <c r="H1585" s="591"/>
      <c r="I1585" s="591">
        <f>2-0.6+0.45</f>
        <v>1.8499999999999999</v>
      </c>
      <c r="J1585" s="597">
        <f t="shared" si="112"/>
        <v>1.48</v>
      </c>
      <c r="K1585" s="592"/>
    </row>
    <row r="1586" spans="1:11">
      <c r="A1586" s="568"/>
      <c r="B1586" s="593"/>
      <c r="C1586" s="589"/>
      <c r="D1586" s="578">
        <v>2</v>
      </c>
      <c r="E1586" s="579" t="s">
        <v>8</v>
      </c>
      <c r="F1586" s="569">
        <f>2</f>
        <v>2</v>
      </c>
      <c r="G1586" s="590"/>
      <c r="H1586" s="591">
        <v>0.6</v>
      </c>
      <c r="I1586" s="591">
        <f>2-0.6+0.45</f>
        <v>1.8499999999999999</v>
      </c>
      <c r="J1586" s="597">
        <f t="shared" ref="J1586" si="121">PRODUCT(D1586:I1586)</f>
        <v>4.4399999999999995</v>
      </c>
      <c r="K1586" s="592"/>
    </row>
    <row r="1587" spans="1:11">
      <c r="A1587" s="568"/>
      <c r="B1587" s="593" t="s">
        <v>1121</v>
      </c>
      <c r="C1587" s="589"/>
      <c r="D1587" s="578">
        <v>2</v>
      </c>
      <c r="E1587" s="579" t="s">
        <v>8</v>
      </c>
      <c r="F1587" s="569">
        <v>3</v>
      </c>
      <c r="G1587" s="590">
        <v>0.2</v>
      </c>
      <c r="H1587" s="591"/>
      <c r="I1587" s="591">
        <f t="shared" ref="I1587:I1592" si="122">2-0.8+0.45</f>
        <v>1.65</v>
      </c>
      <c r="J1587" s="597">
        <f t="shared" si="112"/>
        <v>1.9800000000000002</v>
      </c>
      <c r="K1587" s="592"/>
    </row>
    <row r="1588" spans="1:11">
      <c r="A1588" s="568"/>
      <c r="B1588" s="593"/>
      <c r="C1588" s="589"/>
      <c r="D1588" s="578">
        <v>2</v>
      </c>
      <c r="E1588" s="579" t="s">
        <v>8</v>
      </c>
      <c r="F1588" s="569">
        <v>3</v>
      </c>
      <c r="G1588" s="590"/>
      <c r="H1588" s="591">
        <v>0.6</v>
      </c>
      <c r="I1588" s="591">
        <f t="shared" si="122"/>
        <v>1.65</v>
      </c>
      <c r="J1588" s="597">
        <f t="shared" ref="J1588" si="123">PRODUCT(D1588:I1588)</f>
        <v>5.9399999999999995</v>
      </c>
      <c r="K1588" s="592"/>
    </row>
    <row r="1589" spans="1:11">
      <c r="A1589" s="568"/>
      <c r="B1589" s="593" t="s">
        <v>1122</v>
      </c>
      <c r="C1589" s="589"/>
      <c r="D1589" s="578">
        <v>2</v>
      </c>
      <c r="E1589" s="579" t="s">
        <v>8</v>
      </c>
      <c r="F1589" s="569">
        <v>6</v>
      </c>
      <c r="G1589" s="590">
        <v>0.2</v>
      </c>
      <c r="H1589" s="591"/>
      <c r="I1589" s="591">
        <f t="shared" si="122"/>
        <v>1.65</v>
      </c>
      <c r="J1589" s="597">
        <f t="shared" si="112"/>
        <v>3.9600000000000004</v>
      </c>
      <c r="K1589" s="592"/>
    </row>
    <row r="1590" spans="1:11">
      <c r="A1590" s="568"/>
      <c r="B1590" s="593"/>
      <c r="C1590" s="589"/>
      <c r="D1590" s="578">
        <v>2</v>
      </c>
      <c r="E1590" s="579" t="s">
        <v>8</v>
      </c>
      <c r="F1590" s="569">
        <v>6</v>
      </c>
      <c r="G1590" s="590"/>
      <c r="H1590" s="591">
        <v>0.9</v>
      </c>
      <c r="I1590" s="591">
        <f t="shared" si="122"/>
        <v>1.65</v>
      </c>
      <c r="J1590" s="597">
        <f t="shared" ref="J1590" si="124">PRODUCT(D1590:I1590)</f>
        <v>17.82</v>
      </c>
      <c r="K1590" s="592"/>
    </row>
    <row r="1591" spans="1:11">
      <c r="A1591" s="568"/>
      <c r="B1591" s="593" t="s">
        <v>1123</v>
      </c>
      <c r="C1591" s="589"/>
      <c r="D1591" s="578">
        <v>2</v>
      </c>
      <c r="E1591" s="579" t="s">
        <v>8</v>
      </c>
      <c r="F1591" s="569">
        <v>1</v>
      </c>
      <c r="G1591" s="590">
        <v>0.3</v>
      </c>
      <c r="H1591" s="591"/>
      <c r="I1591" s="591">
        <f t="shared" si="122"/>
        <v>1.65</v>
      </c>
      <c r="J1591" s="597">
        <f t="shared" si="112"/>
        <v>0.98999999999999988</v>
      </c>
      <c r="K1591" s="592"/>
    </row>
    <row r="1592" spans="1:11">
      <c r="A1592" s="568"/>
      <c r="B1592" s="593"/>
      <c r="C1592" s="589"/>
      <c r="D1592" s="578">
        <v>2</v>
      </c>
      <c r="E1592" s="579" t="s">
        <v>8</v>
      </c>
      <c r="F1592" s="569">
        <v>1</v>
      </c>
      <c r="G1592" s="590"/>
      <c r="H1592" s="591">
        <v>0.9</v>
      </c>
      <c r="I1592" s="591">
        <f t="shared" si="122"/>
        <v>1.65</v>
      </c>
      <c r="J1592" s="597">
        <f t="shared" ref="J1592" si="125">PRODUCT(D1592:I1592)</f>
        <v>2.9699999999999998</v>
      </c>
      <c r="K1592" s="592"/>
    </row>
    <row r="1593" spans="1:11">
      <c r="A1593" s="568"/>
      <c r="B1593" s="593" t="s">
        <v>1124</v>
      </c>
      <c r="C1593" s="589"/>
      <c r="D1593" s="578">
        <v>2</v>
      </c>
      <c r="E1593" s="579" t="s">
        <v>8</v>
      </c>
      <c r="F1593" s="569">
        <v>2</v>
      </c>
      <c r="G1593" s="590">
        <v>0.23</v>
      </c>
      <c r="H1593" s="591"/>
      <c r="I1593" s="591">
        <f>2-0.45+0.45</f>
        <v>2</v>
      </c>
      <c r="J1593" s="597">
        <f t="shared" si="112"/>
        <v>1.84</v>
      </c>
      <c r="K1593" s="592"/>
    </row>
    <row r="1594" spans="1:11">
      <c r="A1594" s="568"/>
      <c r="B1594" s="593"/>
      <c r="C1594" s="589"/>
      <c r="D1594" s="578">
        <v>2</v>
      </c>
      <c r="E1594" s="579" t="s">
        <v>8</v>
      </c>
      <c r="F1594" s="569">
        <v>2</v>
      </c>
      <c r="G1594" s="590"/>
      <c r="H1594" s="591">
        <v>0.9</v>
      </c>
      <c r="I1594" s="591">
        <f>2-0.45+0.45</f>
        <v>2</v>
      </c>
      <c r="J1594" s="597">
        <f t="shared" ref="J1594" si="126">PRODUCT(D1594:I1594)</f>
        <v>7.2</v>
      </c>
      <c r="K1594" s="592"/>
    </row>
    <row r="1595" spans="1:11">
      <c r="A1595" s="568"/>
      <c r="B1595" s="593" t="s">
        <v>1125</v>
      </c>
      <c r="C1595" s="589"/>
      <c r="D1595" s="578">
        <v>2</v>
      </c>
      <c r="E1595" s="579" t="s">
        <v>8</v>
      </c>
      <c r="F1595" s="569">
        <v>1</v>
      </c>
      <c r="G1595" s="590">
        <v>0.3</v>
      </c>
      <c r="H1595" s="591"/>
      <c r="I1595" s="591">
        <f>2-0.9+0.45</f>
        <v>1.55</v>
      </c>
      <c r="J1595" s="597">
        <f t="shared" si="112"/>
        <v>0.92999999999999994</v>
      </c>
      <c r="K1595" s="592"/>
    </row>
    <row r="1596" spans="1:11">
      <c r="A1596" s="568"/>
      <c r="B1596" s="593"/>
      <c r="C1596" s="589"/>
      <c r="D1596" s="578">
        <v>2</v>
      </c>
      <c r="E1596" s="579" t="s">
        <v>8</v>
      </c>
      <c r="F1596" s="569">
        <v>1</v>
      </c>
      <c r="G1596" s="590"/>
      <c r="H1596" s="591">
        <v>1.1000000000000001</v>
      </c>
      <c r="I1596" s="591">
        <f>2-0.9+0.45</f>
        <v>1.55</v>
      </c>
      <c r="J1596" s="597">
        <f t="shared" ref="J1596" si="127">PRODUCT(D1596:I1596)</f>
        <v>3.4100000000000006</v>
      </c>
      <c r="K1596" s="592"/>
    </row>
    <row r="1597" spans="1:11">
      <c r="A1597" s="568"/>
      <c r="B1597" s="593" t="s">
        <v>1126</v>
      </c>
      <c r="C1597" s="589"/>
      <c r="D1597" s="578">
        <v>2</v>
      </c>
      <c r="E1597" s="579" t="s">
        <v>8</v>
      </c>
      <c r="F1597" s="569">
        <v>8</v>
      </c>
      <c r="G1597" s="590">
        <v>0.2</v>
      </c>
      <c r="H1597" s="591"/>
      <c r="I1597" s="591">
        <f>2-0.55+0.45</f>
        <v>1.9</v>
      </c>
      <c r="J1597" s="597">
        <f t="shared" si="112"/>
        <v>6.08</v>
      </c>
      <c r="K1597" s="592"/>
    </row>
    <row r="1598" spans="1:11">
      <c r="A1598" s="568"/>
      <c r="B1598" s="593"/>
      <c r="C1598" s="589"/>
      <c r="D1598" s="578">
        <v>2</v>
      </c>
      <c r="E1598" s="579" t="s">
        <v>8</v>
      </c>
      <c r="F1598" s="569">
        <v>8</v>
      </c>
      <c r="G1598" s="590"/>
      <c r="H1598" s="591">
        <v>0.5</v>
      </c>
      <c r="I1598" s="591">
        <f>2-0.55+0.45</f>
        <v>1.9</v>
      </c>
      <c r="J1598" s="597">
        <f t="shared" ref="J1598" si="128">PRODUCT(D1598:I1598)</f>
        <v>15.2</v>
      </c>
      <c r="K1598" s="592"/>
    </row>
    <row r="1599" spans="1:11">
      <c r="A1599" s="568"/>
      <c r="B1599" s="593" t="s">
        <v>1127</v>
      </c>
      <c r="C1599" s="589"/>
      <c r="D1599" s="578">
        <v>2</v>
      </c>
      <c r="E1599" s="579" t="s">
        <v>8</v>
      </c>
      <c r="F1599" s="569">
        <v>4</v>
      </c>
      <c r="G1599" s="590">
        <v>0.2</v>
      </c>
      <c r="H1599" s="591"/>
      <c r="I1599" s="591">
        <f>2-0.45+0.45</f>
        <v>2</v>
      </c>
      <c r="J1599" s="597">
        <f t="shared" si="112"/>
        <v>3.2</v>
      </c>
      <c r="K1599" s="592"/>
    </row>
    <row r="1600" spans="1:11">
      <c r="A1600" s="568"/>
      <c r="B1600" s="593"/>
      <c r="C1600" s="589"/>
      <c r="D1600" s="578">
        <v>2</v>
      </c>
      <c r="E1600" s="579" t="s">
        <v>8</v>
      </c>
      <c r="F1600" s="569">
        <v>4</v>
      </c>
      <c r="G1600" s="590"/>
      <c r="H1600" s="591">
        <v>0.2</v>
      </c>
      <c r="I1600" s="591">
        <f>2-0.45+0.45</f>
        <v>2</v>
      </c>
      <c r="J1600" s="597">
        <f t="shared" ref="J1600" si="129">PRODUCT(D1600:I1600)</f>
        <v>3.2</v>
      </c>
      <c r="K1600" s="592"/>
    </row>
    <row r="1601" spans="1:11">
      <c r="A1601" s="568"/>
      <c r="B1601" s="593" t="s">
        <v>1128</v>
      </c>
      <c r="C1601" s="589"/>
      <c r="D1601" s="578">
        <v>2</v>
      </c>
      <c r="E1601" s="579" t="s">
        <v>8</v>
      </c>
      <c r="F1601" s="569">
        <v>1</v>
      </c>
      <c r="G1601" s="590">
        <v>0.23</v>
      </c>
      <c r="H1601" s="591"/>
      <c r="I1601" s="591">
        <f>2-0.5+0.45</f>
        <v>1.95</v>
      </c>
      <c r="J1601" s="597">
        <f t="shared" si="112"/>
        <v>0.89700000000000002</v>
      </c>
      <c r="K1601" s="592"/>
    </row>
    <row r="1602" spans="1:11">
      <c r="A1602" s="568"/>
      <c r="B1602" s="593"/>
      <c r="C1602" s="589"/>
      <c r="D1602" s="578">
        <v>2</v>
      </c>
      <c r="E1602" s="579" t="s">
        <v>8</v>
      </c>
      <c r="F1602" s="569">
        <v>1</v>
      </c>
      <c r="G1602" s="590"/>
      <c r="H1602" s="591">
        <v>0.75</v>
      </c>
      <c r="I1602" s="591">
        <f>2-0.5+0.45</f>
        <v>1.95</v>
      </c>
      <c r="J1602" s="597">
        <f t="shared" ref="J1602" si="130">PRODUCT(D1602:I1602)</f>
        <v>2.9249999999999998</v>
      </c>
      <c r="K1602" s="592"/>
    </row>
    <row r="1603" spans="1:11">
      <c r="A1603" s="568"/>
      <c r="B1603" s="584" t="s">
        <v>12</v>
      </c>
      <c r="C1603" s="589"/>
      <c r="G1603" s="590"/>
      <c r="H1603" s="591"/>
      <c r="I1603" s="591"/>
      <c r="J1603" s="591"/>
      <c r="K1603" s="592"/>
    </row>
    <row r="1604" spans="1:11">
      <c r="A1604" s="568"/>
      <c r="B1604" s="593" t="s">
        <v>1112</v>
      </c>
      <c r="C1604" s="589"/>
      <c r="D1604" s="578">
        <v>1</v>
      </c>
      <c r="E1604" s="579" t="s">
        <v>8</v>
      </c>
      <c r="F1604" s="569">
        <v>7</v>
      </c>
      <c r="G1604" s="590">
        <f>(0.2+1.2)*2</f>
        <v>2.8</v>
      </c>
      <c r="H1604" s="591"/>
      <c r="I1604" s="591">
        <f>4-0.45</f>
        <v>3.55</v>
      </c>
      <c r="J1604" s="598">
        <f t="shared" ref="J1604:J1620" si="131">ROUNDUP(PRODUCT(D1604:I1604),2)</f>
        <v>69.58</v>
      </c>
      <c r="K1604" s="592"/>
    </row>
    <row r="1605" spans="1:11">
      <c r="A1605" s="568"/>
      <c r="B1605" s="593" t="s">
        <v>1113</v>
      </c>
      <c r="C1605" s="589"/>
      <c r="D1605" s="578">
        <v>1</v>
      </c>
      <c r="E1605" s="579" t="s">
        <v>8</v>
      </c>
      <c r="F1605" s="569">
        <v>2</v>
      </c>
      <c r="G1605" s="590">
        <f>(0.2+1.2)*2</f>
        <v>2.8</v>
      </c>
      <c r="H1605" s="591"/>
      <c r="I1605" s="591">
        <f t="shared" ref="I1605:I1620" si="132">4-0.45</f>
        <v>3.55</v>
      </c>
      <c r="J1605" s="598">
        <f t="shared" si="131"/>
        <v>19.88</v>
      </c>
      <c r="K1605" s="592"/>
    </row>
    <row r="1606" spans="1:11">
      <c r="A1606" s="568"/>
      <c r="B1606" s="593" t="s">
        <v>1114</v>
      </c>
      <c r="C1606" s="589"/>
      <c r="D1606" s="578">
        <v>1</v>
      </c>
      <c r="E1606" s="579" t="s">
        <v>8</v>
      </c>
      <c r="F1606" s="569">
        <v>4</v>
      </c>
      <c r="G1606" s="590">
        <f>(0.2+1)*2</f>
        <v>2.4</v>
      </c>
      <c r="H1606" s="591"/>
      <c r="I1606" s="591">
        <f t="shared" si="132"/>
        <v>3.55</v>
      </c>
      <c r="J1606" s="598">
        <f t="shared" si="131"/>
        <v>34.08</v>
      </c>
      <c r="K1606" s="592"/>
    </row>
    <row r="1607" spans="1:11">
      <c r="A1607" s="568"/>
      <c r="B1607" s="593" t="s">
        <v>1115</v>
      </c>
      <c r="C1607" s="589"/>
      <c r="D1607" s="578">
        <v>1</v>
      </c>
      <c r="E1607" s="579" t="s">
        <v>8</v>
      </c>
      <c r="F1607" s="569">
        <v>2</v>
      </c>
      <c r="G1607" s="590">
        <f>(0.2+1)*2</f>
        <v>2.4</v>
      </c>
      <c r="H1607" s="591"/>
      <c r="I1607" s="591">
        <f t="shared" si="132"/>
        <v>3.55</v>
      </c>
      <c r="J1607" s="598">
        <f t="shared" si="131"/>
        <v>17.04</v>
      </c>
      <c r="K1607" s="592"/>
    </row>
    <row r="1608" spans="1:11">
      <c r="A1608" s="568"/>
      <c r="B1608" s="593" t="s">
        <v>1116</v>
      </c>
      <c r="C1608" s="589"/>
      <c r="D1608" s="578">
        <v>1</v>
      </c>
      <c r="E1608" s="579" t="s">
        <v>8</v>
      </c>
      <c r="F1608" s="569">
        <f>4+5</f>
        <v>9</v>
      </c>
      <c r="G1608" s="590">
        <f>(0.2+0.9)*2</f>
        <v>2.2000000000000002</v>
      </c>
      <c r="H1608" s="591"/>
      <c r="I1608" s="591">
        <f t="shared" si="132"/>
        <v>3.55</v>
      </c>
      <c r="J1608" s="598">
        <f t="shared" si="131"/>
        <v>70.290000000000006</v>
      </c>
      <c r="K1608" s="592"/>
    </row>
    <row r="1609" spans="1:11">
      <c r="A1609" s="568"/>
      <c r="B1609" s="593" t="s">
        <v>1117</v>
      </c>
      <c r="C1609" s="589"/>
      <c r="D1609" s="578">
        <v>1</v>
      </c>
      <c r="E1609" s="579" t="s">
        <v>8</v>
      </c>
      <c r="F1609" s="569">
        <v>3</v>
      </c>
      <c r="G1609" s="590">
        <f>(0.2+0.9)*2</f>
        <v>2.2000000000000002</v>
      </c>
      <c r="H1609" s="591"/>
      <c r="I1609" s="591">
        <f t="shared" si="132"/>
        <v>3.55</v>
      </c>
      <c r="J1609" s="598">
        <f t="shared" si="131"/>
        <v>23.43</v>
      </c>
      <c r="K1609" s="592"/>
    </row>
    <row r="1610" spans="1:11">
      <c r="A1610" s="568"/>
      <c r="B1610" s="593" t="s">
        <v>1118</v>
      </c>
      <c r="C1610" s="589"/>
      <c r="D1610" s="578">
        <v>1</v>
      </c>
      <c r="E1610" s="579" t="s">
        <v>8</v>
      </c>
      <c r="F1610" s="569">
        <f>3+2</f>
        <v>5</v>
      </c>
      <c r="G1610" s="590">
        <f>(0.2+0.8)*2</f>
        <v>2</v>
      </c>
      <c r="H1610" s="591"/>
      <c r="I1610" s="591">
        <f t="shared" si="132"/>
        <v>3.55</v>
      </c>
      <c r="J1610" s="598">
        <f t="shared" si="131"/>
        <v>35.5</v>
      </c>
      <c r="K1610" s="592"/>
    </row>
    <row r="1611" spans="1:11">
      <c r="A1611" s="568"/>
      <c r="B1611" s="593" t="s">
        <v>1119</v>
      </c>
      <c r="C1611" s="589"/>
      <c r="D1611" s="578">
        <v>1</v>
      </c>
      <c r="E1611" s="579" t="s">
        <v>8</v>
      </c>
      <c r="F1611" s="569">
        <v>7</v>
      </c>
      <c r="G1611" s="590">
        <f>(0.2+0.75)*2</f>
        <v>1.9</v>
      </c>
      <c r="H1611" s="591"/>
      <c r="I1611" s="591">
        <f t="shared" si="132"/>
        <v>3.55</v>
      </c>
      <c r="J1611" s="598">
        <f t="shared" si="131"/>
        <v>47.22</v>
      </c>
      <c r="K1611" s="592"/>
    </row>
    <row r="1612" spans="1:11">
      <c r="A1612" s="568"/>
      <c r="B1612" s="593" t="s">
        <v>1120</v>
      </c>
      <c r="C1612" s="589"/>
      <c r="D1612" s="578">
        <v>1</v>
      </c>
      <c r="E1612" s="579" t="s">
        <v>8</v>
      </c>
      <c r="F1612" s="569">
        <f>2</f>
        <v>2</v>
      </c>
      <c r="G1612" s="590">
        <f>(0.2+0.6)*2</f>
        <v>1.6</v>
      </c>
      <c r="H1612" s="591"/>
      <c r="I1612" s="591">
        <f t="shared" si="132"/>
        <v>3.55</v>
      </c>
      <c r="J1612" s="598">
        <f t="shared" si="131"/>
        <v>11.36</v>
      </c>
      <c r="K1612" s="592"/>
    </row>
    <row r="1613" spans="1:11">
      <c r="A1613" s="568"/>
      <c r="B1613" s="593" t="s">
        <v>1121</v>
      </c>
      <c r="C1613" s="589"/>
      <c r="D1613" s="578">
        <v>1</v>
      </c>
      <c r="E1613" s="579" t="s">
        <v>8</v>
      </c>
      <c r="F1613" s="569">
        <v>3</v>
      </c>
      <c r="G1613" s="590">
        <f>(0.2+0.6)*2</f>
        <v>1.6</v>
      </c>
      <c r="H1613" s="591"/>
      <c r="I1613" s="591">
        <f t="shared" si="132"/>
        <v>3.55</v>
      </c>
      <c r="J1613" s="598">
        <f t="shared" si="131"/>
        <v>17.04</v>
      </c>
      <c r="K1613" s="592"/>
    </row>
    <row r="1614" spans="1:11">
      <c r="A1614" s="568"/>
      <c r="B1614" s="593" t="s">
        <v>1122</v>
      </c>
      <c r="C1614" s="589"/>
      <c r="D1614" s="578">
        <v>1</v>
      </c>
      <c r="E1614" s="579" t="s">
        <v>8</v>
      </c>
      <c r="F1614" s="569">
        <v>6</v>
      </c>
      <c r="G1614" s="590">
        <f>(0.2+0.9)*2</f>
        <v>2.2000000000000002</v>
      </c>
      <c r="H1614" s="591"/>
      <c r="I1614" s="591">
        <f t="shared" si="132"/>
        <v>3.55</v>
      </c>
      <c r="J1614" s="598">
        <f t="shared" si="131"/>
        <v>46.86</v>
      </c>
      <c r="K1614" s="592"/>
    </row>
    <row r="1615" spans="1:11">
      <c r="A1615" s="568"/>
      <c r="B1615" s="593" t="s">
        <v>1123</v>
      </c>
      <c r="C1615" s="589"/>
      <c r="D1615" s="578">
        <v>1</v>
      </c>
      <c r="E1615" s="579" t="s">
        <v>8</v>
      </c>
      <c r="F1615" s="569">
        <v>1</v>
      </c>
      <c r="G1615" s="590">
        <f>(0.3+0.9)*2</f>
        <v>2.4</v>
      </c>
      <c r="H1615" s="591"/>
      <c r="I1615" s="591">
        <f t="shared" si="132"/>
        <v>3.55</v>
      </c>
      <c r="J1615" s="598">
        <f t="shared" si="131"/>
        <v>8.52</v>
      </c>
      <c r="K1615" s="592"/>
    </row>
    <row r="1616" spans="1:11">
      <c r="A1616" s="568"/>
      <c r="B1616" s="593" t="s">
        <v>1124</v>
      </c>
      <c r="C1616" s="589"/>
      <c r="D1616" s="578">
        <v>1</v>
      </c>
      <c r="E1616" s="579" t="s">
        <v>8</v>
      </c>
      <c r="F1616" s="569">
        <v>2</v>
      </c>
      <c r="G1616" s="590">
        <f>(0.23+0.9)*2</f>
        <v>2.2600000000000002</v>
      </c>
      <c r="H1616" s="591"/>
      <c r="I1616" s="591">
        <f t="shared" si="132"/>
        <v>3.55</v>
      </c>
      <c r="J1616" s="598">
        <f t="shared" si="131"/>
        <v>16.05</v>
      </c>
      <c r="K1616" s="592"/>
    </row>
    <row r="1617" spans="1:11">
      <c r="A1617" s="568"/>
      <c r="B1617" s="593" t="s">
        <v>1125</v>
      </c>
      <c r="C1617" s="589"/>
      <c r="D1617" s="578">
        <v>1</v>
      </c>
      <c r="E1617" s="579" t="s">
        <v>8</v>
      </c>
      <c r="F1617" s="569">
        <v>1</v>
      </c>
      <c r="G1617" s="590">
        <f>(0.3+1.1)*2</f>
        <v>2.8000000000000003</v>
      </c>
      <c r="H1617" s="591"/>
      <c r="I1617" s="591">
        <f t="shared" si="132"/>
        <v>3.55</v>
      </c>
      <c r="J1617" s="598">
        <f t="shared" si="131"/>
        <v>9.94</v>
      </c>
      <c r="K1617" s="592"/>
    </row>
    <row r="1618" spans="1:11">
      <c r="A1618" s="568"/>
      <c r="B1618" s="593" t="s">
        <v>1126</v>
      </c>
      <c r="C1618" s="589"/>
      <c r="D1618" s="578">
        <v>1</v>
      </c>
      <c r="E1618" s="579" t="s">
        <v>8</v>
      </c>
      <c r="F1618" s="569">
        <v>8</v>
      </c>
      <c r="G1618" s="590">
        <f>(0.2+0.5)*2</f>
        <v>1.4</v>
      </c>
      <c r="H1618" s="591"/>
      <c r="I1618" s="591">
        <f t="shared" si="132"/>
        <v>3.55</v>
      </c>
      <c r="J1618" s="598">
        <f t="shared" si="131"/>
        <v>39.76</v>
      </c>
      <c r="K1618" s="592"/>
    </row>
    <row r="1619" spans="1:11">
      <c r="A1619" s="568"/>
      <c r="B1619" s="593" t="s">
        <v>1127</v>
      </c>
      <c r="C1619" s="589"/>
      <c r="D1619" s="578">
        <v>1</v>
      </c>
      <c r="E1619" s="579" t="s">
        <v>8</v>
      </c>
      <c r="F1619" s="569">
        <v>4</v>
      </c>
      <c r="G1619" s="590">
        <f>(0.2+0.2)*2</f>
        <v>0.8</v>
      </c>
      <c r="H1619" s="591"/>
      <c r="I1619" s="591">
        <f t="shared" si="132"/>
        <v>3.55</v>
      </c>
      <c r="J1619" s="598">
        <f t="shared" si="131"/>
        <v>11.36</v>
      </c>
      <c r="K1619" s="592"/>
    </row>
    <row r="1620" spans="1:11">
      <c r="A1620" s="568"/>
      <c r="B1620" s="593" t="s">
        <v>1128</v>
      </c>
      <c r="C1620" s="589"/>
      <c r="D1620" s="578">
        <v>1</v>
      </c>
      <c r="E1620" s="579" t="s">
        <v>8</v>
      </c>
      <c r="F1620" s="569">
        <v>1</v>
      </c>
      <c r="G1620" s="590">
        <f>(0.23+0.75)*2</f>
        <v>1.96</v>
      </c>
      <c r="H1620" s="591"/>
      <c r="I1620" s="591">
        <f t="shared" si="132"/>
        <v>3.55</v>
      </c>
      <c r="J1620" s="598">
        <f t="shared" si="131"/>
        <v>6.96</v>
      </c>
      <c r="K1620" s="592"/>
    </row>
    <row r="1621" spans="1:11">
      <c r="A1621" s="568"/>
      <c r="B1621" s="572"/>
      <c r="C1621" s="589"/>
      <c r="G1621" s="590"/>
      <c r="H1621" s="591"/>
      <c r="I1621" s="591"/>
      <c r="J1621" s="605">
        <f>SUM(J1568:J1620)</f>
        <v>726.09699999999998</v>
      </c>
      <c r="K1621" s="592"/>
    </row>
    <row r="1622" spans="1:11">
      <c r="A1622" s="568"/>
      <c r="B1622" s="572" t="s">
        <v>58</v>
      </c>
      <c r="C1622" s="589"/>
      <c r="G1622" s="590"/>
      <c r="H1622" s="591"/>
      <c r="I1622" s="591"/>
      <c r="J1622" s="605">
        <f>ROUNDUP(J1621,0)</f>
        <v>727</v>
      </c>
      <c r="K1622" s="592" t="s">
        <v>9</v>
      </c>
    </row>
    <row r="1623" spans="1:11">
      <c r="A1623" s="568"/>
      <c r="B1623" s="584" t="s">
        <v>123</v>
      </c>
      <c r="C1623" s="589"/>
      <c r="G1623" s="590"/>
      <c r="H1623" s="591"/>
      <c r="I1623" s="591"/>
      <c r="J1623" s="591"/>
      <c r="K1623" s="592"/>
    </row>
    <row r="1624" spans="1:11">
      <c r="A1624" s="568"/>
      <c r="B1624" s="593" t="s">
        <v>1112</v>
      </c>
      <c r="C1624" s="589"/>
      <c r="D1624" s="578">
        <v>3</v>
      </c>
      <c r="E1624" s="579" t="s">
        <v>8</v>
      </c>
      <c r="F1624" s="569">
        <v>7</v>
      </c>
      <c r="G1624" s="590">
        <f>(0.2+1.2)*2</f>
        <v>2.8</v>
      </c>
      <c r="H1624" s="591"/>
      <c r="I1624" s="591">
        <f>3.4-0.45</f>
        <v>2.9499999999999997</v>
      </c>
      <c r="J1624" s="598">
        <f t="shared" ref="J1624:J1638" si="133">ROUNDUP(PRODUCT(D1624:I1624),2)</f>
        <v>173.46</v>
      </c>
      <c r="K1624" s="592"/>
    </row>
    <row r="1625" spans="1:11">
      <c r="A1625" s="568"/>
      <c r="B1625" s="593" t="s">
        <v>1113</v>
      </c>
      <c r="C1625" s="589"/>
      <c r="D1625" s="578">
        <v>3</v>
      </c>
      <c r="E1625" s="579" t="s">
        <v>8</v>
      </c>
      <c r="F1625" s="569">
        <v>2</v>
      </c>
      <c r="G1625" s="590">
        <f>(0.2+1.2)*2</f>
        <v>2.8</v>
      </c>
      <c r="H1625" s="591"/>
      <c r="I1625" s="591">
        <v>2.95</v>
      </c>
      <c r="J1625" s="598">
        <f t="shared" si="133"/>
        <v>49.56</v>
      </c>
      <c r="K1625" s="592"/>
    </row>
    <row r="1626" spans="1:11">
      <c r="A1626" s="568"/>
      <c r="B1626" s="593" t="s">
        <v>1114</v>
      </c>
      <c r="C1626" s="589"/>
      <c r="D1626" s="578">
        <v>3</v>
      </c>
      <c r="E1626" s="579" t="s">
        <v>8</v>
      </c>
      <c r="F1626" s="569">
        <v>4</v>
      </c>
      <c r="G1626" s="590">
        <f>(0.2+1)*2</f>
        <v>2.4</v>
      </c>
      <c r="H1626" s="591"/>
      <c r="I1626" s="591">
        <v>2.95</v>
      </c>
      <c r="J1626" s="598">
        <f t="shared" si="133"/>
        <v>84.96</v>
      </c>
      <c r="K1626" s="592"/>
    </row>
    <row r="1627" spans="1:11">
      <c r="A1627" s="568"/>
      <c r="B1627" s="593" t="s">
        <v>1115</v>
      </c>
      <c r="C1627" s="589"/>
      <c r="D1627" s="578">
        <v>3</v>
      </c>
      <c r="E1627" s="579" t="s">
        <v>8</v>
      </c>
      <c r="F1627" s="569">
        <v>2</v>
      </c>
      <c r="G1627" s="590">
        <f>(0.2+1)*2</f>
        <v>2.4</v>
      </c>
      <c r="H1627" s="591"/>
      <c r="I1627" s="591">
        <v>2.95</v>
      </c>
      <c r="J1627" s="598">
        <f t="shared" si="133"/>
        <v>42.48</v>
      </c>
      <c r="K1627" s="592"/>
    </row>
    <row r="1628" spans="1:11">
      <c r="A1628" s="568"/>
      <c r="B1628" s="593" t="s">
        <v>1116</v>
      </c>
      <c r="C1628" s="589"/>
      <c r="D1628" s="578">
        <v>3</v>
      </c>
      <c r="E1628" s="579" t="s">
        <v>8</v>
      </c>
      <c r="F1628" s="569">
        <f>4+5</f>
        <v>9</v>
      </c>
      <c r="G1628" s="590">
        <f>(0.2+0.9)*2</f>
        <v>2.2000000000000002</v>
      </c>
      <c r="H1628" s="591"/>
      <c r="I1628" s="591">
        <v>2.95</v>
      </c>
      <c r="J1628" s="598">
        <f t="shared" si="133"/>
        <v>175.23</v>
      </c>
      <c r="K1628" s="592"/>
    </row>
    <row r="1629" spans="1:11">
      <c r="A1629" s="568"/>
      <c r="B1629" s="593" t="s">
        <v>1117</v>
      </c>
      <c r="C1629" s="589"/>
      <c r="D1629" s="578">
        <v>3</v>
      </c>
      <c r="E1629" s="579" t="s">
        <v>8</v>
      </c>
      <c r="F1629" s="569">
        <v>3</v>
      </c>
      <c r="G1629" s="590">
        <f>(0.2+0.9)*2</f>
        <v>2.2000000000000002</v>
      </c>
      <c r="H1629" s="591"/>
      <c r="I1629" s="591">
        <v>2.95</v>
      </c>
      <c r="J1629" s="598">
        <f t="shared" si="133"/>
        <v>58.41</v>
      </c>
      <c r="K1629" s="592"/>
    </row>
    <row r="1630" spans="1:11">
      <c r="A1630" s="568"/>
      <c r="B1630" s="593" t="s">
        <v>1118</v>
      </c>
      <c r="C1630" s="589"/>
      <c r="D1630" s="578">
        <v>3</v>
      </c>
      <c r="E1630" s="579" t="s">
        <v>8</v>
      </c>
      <c r="F1630" s="569">
        <f>3+2</f>
        <v>5</v>
      </c>
      <c r="G1630" s="590">
        <f>(0.2+0.8)*2</f>
        <v>2</v>
      </c>
      <c r="H1630" s="591"/>
      <c r="I1630" s="591">
        <v>2.95</v>
      </c>
      <c r="J1630" s="598">
        <f t="shared" si="133"/>
        <v>88.5</v>
      </c>
      <c r="K1630" s="592"/>
    </row>
    <row r="1631" spans="1:11">
      <c r="A1631" s="568"/>
      <c r="B1631" s="593" t="s">
        <v>1119</v>
      </c>
      <c r="C1631" s="589"/>
      <c r="D1631" s="578">
        <v>3</v>
      </c>
      <c r="E1631" s="579" t="s">
        <v>8</v>
      </c>
      <c r="F1631" s="569">
        <v>7</v>
      </c>
      <c r="G1631" s="590">
        <f>(0.2+0.75)*2</f>
        <v>1.9</v>
      </c>
      <c r="H1631" s="591"/>
      <c r="I1631" s="591">
        <v>2.95</v>
      </c>
      <c r="J1631" s="598">
        <f t="shared" si="133"/>
        <v>117.71000000000001</v>
      </c>
      <c r="K1631" s="592"/>
    </row>
    <row r="1632" spans="1:11">
      <c r="A1632" s="568"/>
      <c r="B1632" s="593" t="s">
        <v>1120</v>
      </c>
      <c r="C1632" s="589"/>
      <c r="D1632" s="578">
        <v>3</v>
      </c>
      <c r="E1632" s="579" t="s">
        <v>8</v>
      </c>
      <c r="F1632" s="569">
        <f>2</f>
        <v>2</v>
      </c>
      <c r="G1632" s="590">
        <f>(0.2+0.6)*2</f>
        <v>1.6</v>
      </c>
      <c r="H1632" s="591"/>
      <c r="I1632" s="591">
        <v>2.95</v>
      </c>
      <c r="J1632" s="598">
        <f t="shared" si="133"/>
        <v>28.32</v>
      </c>
      <c r="K1632" s="592"/>
    </row>
    <row r="1633" spans="1:11">
      <c r="A1633" s="568"/>
      <c r="B1633" s="593" t="s">
        <v>1121</v>
      </c>
      <c r="C1633" s="589"/>
      <c r="D1633" s="578">
        <v>3</v>
      </c>
      <c r="E1633" s="579" t="s">
        <v>8</v>
      </c>
      <c r="F1633" s="569">
        <v>3</v>
      </c>
      <c r="G1633" s="590">
        <f>(0.2+0.6)*2</f>
        <v>1.6</v>
      </c>
      <c r="H1633" s="591"/>
      <c r="I1633" s="591">
        <v>2.95</v>
      </c>
      <c r="J1633" s="598">
        <f t="shared" si="133"/>
        <v>42.48</v>
      </c>
      <c r="K1633" s="592"/>
    </row>
    <row r="1634" spans="1:11">
      <c r="A1634" s="568"/>
      <c r="B1634" s="593" t="s">
        <v>1122</v>
      </c>
      <c r="C1634" s="589"/>
      <c r="D1634" s="578">
        <v>3</v>
      </c>
      <c r="E1634" s="579" t="s">
        <v>8</v>
      </c>
      <c r="F1634" s="569">
        <v>6</v>
      </c>
      <c r="G1634" s="590">
        <f>(0.2+0.9)*2</f>
        <v>2.2000000000000002</v>
      </c>
      <c r="H1634" s="591"/>
      <c r="I1634" s="591">
        <v>2.95</v>
      </c>
      <c r="J1634" s="598">
        <f t="shared" si="133"/>
        <v>116.82</v>
      </c>
      <c r="K1634" s="592"/>
    </row>
    <row r="1635" spans="1:11">
      <c r="A1635" s="568"/>
      <c r="B1635" s="593" t="s">
        <v>1123</v>
      </c>
      <c r="C1635" s="589"/>
      <c r="D1635" s="578">
        <v>3</v>
      </c>
      <c r="E1635" s="579" t="s">
        <v>8</v>
      </c>
      <c r="F1635" s="569">
        <v>1</v>
      </c>
      <c r="G1635" s="590">
        <f>(0.3+0.9)*2</f>
        <v>2.4</v>
      </c>
      <c r="H1635" s="591"/>
      <c r="I1635" s="591">
        <v>2.95</v>
      </c>
      <c r="J1635" s="598">
        <f t="shared" si="133"/>
        <v>21.24</v>
      </c>
      <c r="K1635" s="592"/>
    </row>
    <row r="1636" spans="1:11">
      <c r="A1636" s="568"/>
      <c r="B1636" s="593" t="s">
        <v>1124</v>
      </c>
      <c r="C1636" s="589"/>
      <c r="D1636" s="578">
        <v>3</v>
      </c>
      <c r="E1636" s="579" t="s">
        <v>8</v>
      </c>
      <c r="F1636" s="569">
        <v>2</v>
      </c>
      <c r="G1636" s="590">
        <f>(0.23+0.9)*2</f>
        <v>2.2600000000000002</v>
      </c>
      <c r="H1636" s="591"/>
      <c r="I1636" s="591">
        <v>2.95</v>
      </c>
      <c r="J1636" s="598">
        <f t="shared" si="133"/>
        <v>40.01</v>
      </c>
      <c r="K1636" s="592"/>
    </row>
    <row r="1637" spans="1:11">
      <c r="A1637" s="568"/>
      <c r="B1637" s="593" t="s">
        <v>1125</v>
      </c>
      <c r="C1637" s="589"/>
      <c r="D1637" s="578">
        <v>3</v>
      </c>
      <c r="E1637" s="579" t="s">
        <v>8</v>
      </c>
      <c r="F1637" s="569">
        <v>1</v>
      </c>
      <c r="G1637" s="590">
        <f>(0.3+1.1)*2</f>
        <v>2.8000000000000003</v>
      </c>
      <c r="H1637" s="591"/>
      <c r="I1637" s="591">
        <v>2.95</v>
      </c>
      <c r="J1637" s="598">
        <f t="shared" si="133"/>
        <v>24.78</v>
      </c>
      <c r="K1637" s="592"/>
    </row>
    <row r="1638" spans="1:11">
      <c r="A1638" s="568"/>
      <c r="B1638" s="593" t="s">
        <v>1128</v>
      </c>
      <c r="C1638" s="589"/>
      <c r="D1638" s="578">
        <v>3</v>
      </c>
      <c r="E1638" s="579" t="s">
        <v>8</v>
      </c>
      <c r="F1638" s="569">
        <v>1</v>
      </c>
      <c r="G1638" s="590">
        <f>(0.23+0.75)*2</f>
        <v>1.96</v>
      </c>
      <c r="H1638" s="591"/>
      <c r="I1638" s="591">
        <v>2.95</v>
      </c>
      <c r="J1638" s="598">
        <f t="shared" si="133"/>
        <v>17.350000000000001</v>
      </c>
      <c r="K1638" s="592"/>
    </row>
    <row r="1639" spans="1:11">
      <c r="A1639" s="568"/>
      <c r="B1639" s="572"/>
      <c r="C1639" s="589"/>
      <c r="G1639" s="590"/>
      <c r="H1639" s="591"/>
      <c r="I1639" s="591"/>
      <c r="J1639" s="605">
        <f>SUM(J1624:J1638)</f>
        <v>1081.31</v>
      </c>
      <c r="K1639" s="592"/>
    </row>
    <row r="1640" spans="1:11">
      <c r="A1640" s="568"/>
      <c r="B1640" s="572" t="s">
        <v>58</v>
      </c>
      <c r="C1640" s="589"/>
      <c r="G1640" s="590"/>
      <c r="H1640" s="591"/>
      <c r="I1640" s="591"/>
      <c r="J1640" s="605">
        <f>ROUNDUP(J1639,0)</f>
        <v>1082</v>
      </c>
      <c r="K1640" s="592" t="s">
        <v>9</v>
      </c>
    </row>
    <row r="1641" spans="1:11">
      <c r="A1641" s="568"/>
      <c r="B1641" s="584" t="s">
        <v>25</v>
      </c>
      <c r="C1641" s="589"/>
      <c r="G1641" s="590"/>
      <c r="H1641" s="591"/>
      <c r="I1641" s="591"/>
      <c r="J1641" s="591"/>
      <c r="K1641" s="592"/>
    </row>
    <row r="1642" spans="1:11">
      <c r="A1642" s="568"/>
      <c r="B1642" s="584" t="s">
        <v>47</v>
      </c>
      <c r="C1642" s="589"/>
      <c r="G1642" s="590"/>
      <c r="H1642" s="591"/>
      <c r="I1642" s="591"/>
      <c r="J1642" s="591"/>
      <c r="K1642" s="592"/>
    </row>
    <row r="1643" spans="1:11">
      <c r="A1643" s="568"/>
      <c r="B1643" s="593" t="s">
        <v>623</v>
      </c>
      <c r="C1643" s="589"/>
      <c r="D1643" s="578">
        <v>1</v>
      </c>
      <c r="E1643" s="579" t="s">
        <v>8</v>
      </c>
      <c r="F1643" s="569">
        <v>2</v>
      </c>
      <c r="G1643" s="590">
        <f>(1+0.2)*2</f>
        <v>2.4</v>
      </c>
      <c r="H1643" s="591"/>
      <c r="I1643" s="591">
        <v>4.6500000000000004</v>
      </c>
      <c r="J1643" s="591">
        <f t="shared" ref="J1643:J1650" si="134">PRODUCT(D1643:I1643)</f>
        <v>22.32</v>
      </c>
      <c r="K1643" s="592"/>
    </row>
    <row r="1644" spans="1:11">
      <c r="A1644" s="568"/>
      <c r="B1644" s="584"/>
      <c r="C1644" s="589"/>
      <c r="D1644" s="578">
        <v>1</v>
      </c>
      <c r="E1644" s="579" t="s">
        <v>8</v>
      </c>
      <c r="F1644" s="569">
        <v>4</v>
      </c>
      <c r="G1644" s="590">
        <f>(0.6+0.2)*2</f>
        <v>1.6</v>
      </c>
      <c r="H1644" s="591"/>
      <c r="I1644" s="591">
        <v>4.6500000000000004</v>
      </c>
      <c r="J1644" s="591">
        <f t="shared" si="134"/>
        <v>29.760000000000005</v>
      </c>
      <c r="K1644" s="592"/>
    </row>
    <row r="1645" spans="1:11">
      <c r="A1645" s="568"/>
      <c r="B1645" s="593" t="s">
        <v>598</v>
      </c>
      <c r="C1645" s="589"/>
      <c r="D1645" s="578">
        <v>1</v>
      </c>
      <c r="E1645" s="579" t="s">
        <v>8</v>
      </c>
      <c r="F1645" s="569">
        <v>4</v>
      </c>
      <c r="G1645" s="590">
        <f>(0.6+0.2)*2</f>
        <v>1.6</v>
      </c>
      <c r="H1645" s="591"/>
      <c r="I1645" s="591">
        <v>2.85</v>
      </c>
      <c r="J1645" s="591">
        <f t="shared" si="134"/>
        <v>18.240000000000002</v>
      </c>
      <c r="K1645" s="592"/>
    </row>
    <row r="1646" spans="1:11">
      <c r="A1646" s="568"/>
      <c r="B1646" s="593" t="s">
        <v>1197</v>
      </c>
      <c r="C1646" s="589"/>
      <c r="D1646" s="578">
        <v>1</v>
      </c>
      <c r="E1646" s="579" t="s">
        <v>8</v>
      </c>
      <c r="F1646" s="569">
        <v>4</v>
      </c>
      <c r="G1646" s="590">
        <f>(0.6+0.2)*2</f>
        <v>1.6</v>
      </c>
      <c r="H1646" s="591"/>
      <c r="I1646" s="591">
        <v>4.55</v>
      </c>
      <c r="J1646" s="591">
        <f t="shared" si="134"/>
        <v>29.12</v>
      </c>
      <c r="K1646" s="592"/>
    </row>
    <row r="1647" spans="1:11">
      <c r="A1647" s="568"/>
      <c r="B1647" s="593" t="s">
        <v>629</v>
      </c>
      <c r="C1647" s="589"/>
      <c r="D1647" s="578">
        <v>1</v>
      </c>
      <c r="E1647" s="579" t="s">
        <v>8</v>
      </c>
      <c r="F1647" s="569">
        <v>5</v>
      </c>
      <c r="G1647" s="590">
        <f>(0.6+0.2)*2</f>
        <v>1.6</v>
      </c>
      <c r="H1647" s="591"/>
      <c r="I1647" s="591">
        <v>1.2</v>
      </c>
      <c r="J1647" s="591">
        <f t="shared" si="134"/>
        <v>9.6</v>
      </c>
      <c r="K1647" s="592"/>
    </row>
    <row r="1648" spans="1:11">
      <c r="A1648" s="568"/>
      <c r="B1648" s="593"/>
      <c r="C1648" s="589"/>
      <c r="D1648" s="578">
        <v>1</v>
      </c>
      <c r="E1648" s="579" t="s">
        <v>8</v>
      </c>
      <c r="F1648" s="569">
        <v>12</v>
      </c>
      <c r="G1648" s="590">
        <f>(0.75+0.2)*2</f>
        <v>1.9</v>
      </c>
      <c r="H1648" s="591"/>
      <c r="I1648" s="591">
        <v>1.2</v>
      </c>
      <c r="J1648" s="591">
        <f t="shared" si="134"/>
        <v>27.359999999999996</v>
      </c>
      <c r="K1648" s="592"/>
    </row>
    <row r="1649" spans="1:11">
      <c r="A1649" s="568"/>
      <c r="B1649" s="593"/>
      <c r="C1649" s="589"/>
      <c r="D1649" s="578">
        <v>1</v>
      </c>
      <c r="E1649" s="579" t="s">
        <v>8</v>
      </c>
      <c r="F1649" s="569">
        <v>12</v>
      </c>
      <c r="G1649" s="590">
        <f>(0.9+0.2)*2</f>
        <v>2.2000000000000002</v>
      </c>
      <c r="H1649" s="591"/>
      <c r="I1649" s="591">
        <v>1.2</v>
      </c>
      <c r="J1649" s="591">
        <f t="shared" si="134"/>
        <v>31.68</v>
      </c>
      <c r="K1649" s="592"/>
    </row>
    <row r="1650" spans="1:11">
      <c r="A1650" s="568"/>
      <c r="B1650" s="584"/>
      <c r="C1650" s="589"/>
      <c r="D1650" s="578">
        <v>1</v>
      </c>
      <c r="E1650" s="579" t="s">
        <v>8</v>
      </c>
      <c r="F1650" s="569">
        <v>12</v>
      </c>
      <c r="G1650" s="590">
        <f>(1.2+0.2)*2</f>
        <v>2.8</v>
      </c>
      <c r="H1650" s="591"/>
      <c r="I1650" s="591">
        <v>1.2</v>
      </c>
      <c r="J1650" s="591">
        <f t="shared" si="134"/>
        <v>40.319999999999993</v>
      </c>
      <c r="K1650" s="592"/>
    </row>
    <row r="1651" spans="1:11">
      <c r="A1651" s="568"/>
      <c r="B1651" s="584" t="s">
        <v>1200</v>
      </c>
      <c r="C1651" s="589"/>
      <c r="G1651" s="590"/>
      <c r="H1651" s="591"/>
      <c r="I1651" s="591"/>
      <c r="J1651" s="591"/>
      <c r="K1651" s="592"/>
    </row>
    <row r="1652" spans="1:11">
      <c r="A1652" s="568"/>
      <c r="B1652" s="593" t="s">
        <v>504</v>
      </c>
      <c r="C1652" s="589"/>
      <c r="G1652" s="590"/>
      <c r="H1652" s="591"/>
      <c r="I1652" s="591"/>
      <c r="J1652" s="591"/>
      <c r="K1652" s="592"/>
    </row>
    <row r="1653" spans="1:11">
      <c r="A1653" s="568"/>
      <c r="B1653" s="593" t="s">
        <v>579</v>
      </c>
      <c r="C1653" s="589"/>
      <c r="D1653" s="578">
        <v>1</v>
      </c>
      <c r="E1653" s="579" t="s">
        <v>8</v>
      </c>
      <c r="F1653" s="569">
        <v>12</v>
      </c>
      <c r="G1653" s="590">
        <f>1.5+0.2+0.2</f>
        <v>1.9</v>
      </c>
      <c r="H1653" s="591">
        <v>0.6</v>
      </c>
      <c r="I1653" s="591"/>
      <c r="J1653" s="591">
        <f t="shared" ref="J1653:J1658" si="135">PRODUCT(D1653:I1653)</f>
        <v>13.679999999999998</v>
      </c>
      <c r="K1653" s="592"/>
    </row>
    <row r="1654" spans="1:11">
      <c r="A1654" s="568"/>
      <c r="B1654" s="593" t="s">
        <v>586</v>
      </c>
      <c r="C1654" s="589"/>
      <c r="D1654" s="578">
        <v>1</v>
      </c>
      <c r="E1654" s="579" t="s">
        <v>8</v>
      </c>
      <c r="F1654" s="569">
        <v>2</v>
      </c>
      <c r="G1654" s="590">
        <f>2.15+0.2+0.2</f>
        <v>2.5500000000000003</v>
      </c>
      <c r="H1654" s="591">
        <v>0.75</v>
      </c>
      <c r="I1654" s="591"/>
      <c r="J1654" s="591">
        <f t="shared" si="135"/>
        <v>3.8250000000000002</v>
      </c>
      <c r="K1654" s="592"/>
    </row>
    <row r="1655" spans="1:11">
      <c r="A1655" s="568"/>
      <c r="B1655" s="593" t="s">
        <v>1191</v>
      </c>
      <c r="C1655" s="589"/>
      <c r="D1655" s="578">
        <v>1</v>
      </c>
      <c r="E1655" s="579" t="s">
        <v>8</v>
      </c>
      <c r="F1655" s="569">
        <v>1</v>
      </c>
      <c r="G1655" s="590">
        <f>2.15+0.2+0.2</f>
        <v>2.5500000000000003</v>
      </c>
      <c r="H1655" s="591">
        <v>0.75</v>
      </c>
      <c r="I1655" s="591"/>
      <c r="J1655" s="591">
        <f t="shared" si="135"/>
        <v>1.9125000000000001</v>
      </c>
      <c r="K1655" s="592"/>
    </row>
    <row r="1656" spans="1:11">
      <c r="A1656" s="568"/>
      <c r="B1656" s="593" t="s">
        <v>1192</v>
      </c>
      <c r="C1656" s="589"/>
      <c r="D1656" s="578">
        <v>1</v>
      </c>
      <c r="E1656" s="579" t="s">
        <v>8</v>
      </c>
      <c r="F1656" s="569">
        <v>2</v>
      </c>
      <c r="G1656" s="590">
        <f>1.2+0.2+0.2</f>
        <v>1.5999999999999999</v>
      </c>
      <c r="H1656" s="591">
        <v>0.6</v>
      </c>
      <c r="I1656" s="591"/>
      <c r="J1656" s="591">
        <f t="shared" si="135"/>
        <v>1.9199999999999997</v>
      </c>
      <c r="K1656" s="592"/>
    </row>
    <row r="1657" spans="1:11">
      <c r="A1657" s="568"/>
      <c r="B1657" s="593" t="s">
        <v>1418</v>
      </c>
      <c r="C1657" s="599"/>
      <c r="D1657" s="578">
        <v>2</v>
      </c>
      <c r="E1657" s="579" t="s">
        <v>8</v>
      </c>
      <c r="F1657" s="569">
        <v>2</v>
      </c>
      <c r="G1657" s="600">
        <f>1.2+0.2+0.2</f>
        <v>1.5999999999999999</v>
      </c>
      <c r="H1657" s="600">
        <v>0.3</v>
      </c>
      <c r="I1657" s="568"/>
      <c r="J1657" s="597">
        <f t="shared" si="135"/>
        <v>1.9199999999999997</v>
      </c>
      <c r="K1657" s="592"/>
    </row>
    <row r="1658" spans="1:11">
      <c r="A1658" s="568"/>
      <c r="B1658" s="593" t="s">
        <v>1419</v>
      </c>
      <c r="C1658" s="599"/>
      <c r="D1658" s="578">
        <v>2</v>
      </c>
      <c r="E1658" s="579" t="s">
        <v>8</v>
      </c>
      <c r="F1658" s="569">
        <v>3</v>
      </c>
      <c r="G1658" s="600">
        <f>0.75+0.2+0.2</f>
        <v>1.1499999999999999</v>
      </c>
      <c r="H1658" s="600">
        <v>0.3</v>
      </c>
      <c r="I1658" s="568"/>
      <c r="J1658" s="597">
        <f t="shared" si="135"/>
        <v>2.0699999999999998</v>
      </c>
      <c r="K1658" s="592"/>
    </row>
    <row r="1659" spans="1:11">
      <c r="A1659" s="568"/>
      <c r="B1659" s="584" t="s">
        <v>1201</v>
      </c>
      <c r="C1659" s="589"/>
      <c r="G1659" s="590"/>
      <c r="H1659" s="591"/>
      <c r="I1659" s="591"/>
      <c r="J1659" s="591"/>
      <c r="K1659" s="592"/>
    </row>
    <row r="1660" spans="1:11">
      <c r="A1660" s="568"/>
      <c r="B1660" s="593" t="s">
        <v>504</v>
      </c>
      <c r="C1660" s="589"/>
      <c r="G1660" s="590"/>
      <c r="H1660" s="591"/>
      <c r="I1660" s="591"/>
      <c r="J1660" s="591"/>
      <c r="K1660" s="592"/>
    </row>
    <row r="1661" spans="1:11">
      <c r="A1661" s="568"/>
      <c r="B1661" s="593" t="s">
        <v>579</v>
      </c>
      <c r="C1661" s="589"/>
      <c r="D1661" s="578">
        <v>3</v>
      </c>
      <c r="E1661" s="579" t="s">
        <v>8</v>
      </c>
      <c r="F1661" s="569">
        <v>7</v>
      </c>
      <c r="G1661" s="590">
        <f>1.5+0.2+0.2</f>
        <v>1.9</v>
      </c>
      <c r="H1661" s="591">
        <v>0.6</v>
      </c>
      <c r="I1661" s="591"/>
      <c r="J1661" s="591">
        <f t="shared" ref="J1661:J1662" si="136">PRODUCT(D1661:I1661)</f>
        <v>23.939999999999998</v>
      </c>
      <c r="K1661" s="592"/>
    </row>
    <row r="1662" spans="1:11">
      <c r="A1662" s="568"/>
      <c r="B1662" s="593" t="s">
        <v>586</v>
      </c>
      <c r="C1662" s="589"/>
      <c r="D1662" s="578">
        <v>3</v>
      </c>
      <c r="E1662" s="579" t="s">
        <v>8</v>
      </c>
      <c r="F1662" s="569">
        <v>8</v>
      </c>
      <c r="G1662" s="590">
        <f>2.15+0.2+0.2</f>
        <v>2.5500000000000003</v>
      </c>
      <c r="H1662" s="591">
        <v>0.6</v>
      </c>
      <c r="I1662" s="591"/>
      <c r="J1662" s="591">
        <f t="shared" si="136"/>
        <v>36.72</v>
      </c>
      <c r="K1662" s="592"/>
    </row>
    <row r="1663" spans="1:11">
      <c r="A1663" s="568"/>
      <c r="B1663" s="584" t="s">
        <v>1202</v>
      </c>
      <c r="C1663" s="589"/>
      <c r="G1663" s="590"/>
      <c r="H1663" s="591"/>
      <c r="I1663" s="591"/>
      <c r="J1663" s="591"/>
      <c r="K1663" s="592"/>
    </row>
    <row r="1664" spans="1:11">
      <c r="A1664" s="568"/>
      <c r="B1664" s="593" t="s">
        <v>587</v>
      </c>
      <c r="C1664" s="589"/>
      <c r="D1664" s="578">
        <v>1</v>
      </c>
      <c r="E1664" s="579" t="s">
        <v>8</v>
      </c>
      <c r="F1664" s="569">
        <v>4</v>
      </c>
      <c r="G1664" s="590">
        <f>1.2+0.2+0.2</f>
        <v>1.5999999999999999</v>
      </c>
      <c r="H1664" s="591">
        <v>0.6</v>
      </c>
      <c r="I1664" s="591"/>
      <c r="J1664" s="591">
        <f>PRODUCT(D1664:I1664)</f>
        <v>3.8399999999999994</v>
      </c>
      <c r="K1664" s="592"/>
    </row>
    <row r="1665" spans="1:15">
      <c r="A1665" s="568"/>
      <c r="B1665" s="593" t="s">
        <v>29</v>
      </c>
      <c r="C1665" s="589"/>
      <c r="D1665" s="578">
        <v>1</v>
      </c>
      <c r="E1665" s="579" t="s">
        <v>8</v>
      </c>
      <c r="F1665" s="569">
        <v>4</v>
      </c>
      <c r="G1665" s="590">
        <f>1+0.2+0.2</f>
        <v>1.4</v>
      </c>
      <c r="H1665" s="591">
        <v>0.85</v>
      </c>
      <c r="I1665" s="591"/>
      <c r="J1665" s="591">
        <f>PRODUCT(D1665:I1665)</f>
        <v>4.76</v>
      </c>
      <c r="K1665" s="592"/>
    </row>
    <row r="1666" spans="1:15">
      <c r="A1666" s="568"/>
      <c r="B1666" s="593"/>
      <c r="C1666" s="589"/>
      <c r="G1666" s="590"/>
      <c r="H1666" s="591"/>
      <c r="I1666" s="591"/>
      <c r="J1666" s="605"/>
      <c r="K1666" s="592"/>
    </row>
    <row r="1667" spans="1:15">
      <c r="A1667" s="568"/>
      <c r="B1667" s="584" t="s">
        <v>26</v>
      </c>
      <c r="C1667" s="589"/>
      <c r="G1667" s="612"/>
      <c r="H1667" s="598"/>
      <c r="I1667" s="598"/>
      <c r="J1667" s="598"/>
      <c r="K1667" s="592"/>
    </row>
    <row r="1668" spans="1:15">
      <c r="A1668" s="568"/>
      <c r="B1668" s="593" t="s">
        <v>591</v>
      </c>
      <c r="C1668" s="589"/>
      <c r="D1668" s="578">
        <v>1</v>
      </c>
      <c r="E1668" s="579" t="s">
        <v>8</v>
      </c>
      <c r="F1668" s="569">
        <v>1</v>
      </c>
      <c r="G1668" s="612">
        <v>130.15</v>
      </c>
      <c r="H1668" s="598"/>
      <c r="I1668" s="598">
        <v>1.2</v>
      </c>
      <c r="J1668" s="591">
        <f>PRODUCT(D1668:I1668)</f>
        <v>156.18</v>
      </c>
      <c r="K1668" s="592"/>
    </row>
    <row r="1669" spans="1:15">
      <c r="A1669" s="568"/>
      <c r="B1669" s="593" t="s">
        <v>628</v>
      </c>
      <c r="C1669" s="589"/>
      <c r="D1669" s="578">
        <v>1</v>
      </c>
      <c r="E1669" s="579" t="s">
        <v>8</v>
      </c>
      <c r="F1669" s="569">
        <v>1</v>
      </c>
      <c r="G1669" s="612">
        <v>22</v>
      </c>
      <c r="H1669" s="598"/>
      <c r="I1669" s="598">
        <v>0.3</v>
      </c>
      <c r="J1669" s="591">
        <f t="shared" ref="J1669:J1670" si="137">PRODUCT(D1669:I1669)</f>
        <v>6.6</v>
      </c>
      <c r="K1669" s="592"/>
    </row>
    <row r="1670" spans="1:15">
      <c r="A1670" s="568"/>
      <c r="B1670" s="593" t="s">
        <v>623</v>
      </c>
      <c r="C1670" s="589"/>
      <c r="D1670" s="578">
        <v>1</v>
      </c>
      <c r="E1670" s="579" t="s">
        <v>8</v>
      </c>
      <c r="F1670" s="569">
        <v>1</v>
      </c>
      <c r="G1670" s="612">
        <v>28.1</v>
      </c>
      <c r="H1670" s="598"/>
      <c r="I1670" s="598">
        <v>0.3</v>
      </c>
      <c r="J1670" s="591">
        <f t="shared" si="137"/>
        <v>8.43</v>
      </c>
      <c r="K1670" s="592"/>
    </row>
    <row r="1671" spans="1:15">
      <c r="A1671" s="568"/>
      <c r="B1671" s="593"/>
      <c r="C1671" s="589"/>
      <c r="G1671" s="590"/>
      <c r="H1671" s="591"/>
      <c r="I1671" s="591"/>
      <c r="J1671" s="605">
        <f>SUM(J1643:J1670)</f>
        <v>474.19749999999993</v>
      </c>
      <c r="K1671" s="592"/>
    </row>
    <row r="1672" spans="1:15">
      <c r="A1672" s="568"/>
      <c r="B1672" s="572" t="s">
        <v>58</v>
      </c>
      <c r="C1672" s="589"/>
      <c r="G1672" s="590"/>
      <c r="H1672" s="591"/>
      <c r="I1672" s="591"/>
      <c r="J1672" s="605">
        <f>ROUNDUP(J1671,0)</f>
        <v>475</v>
      </c>
      <c r="K1672" s="592" t="s">
        <v>9</v>
      </c>
    </row>
    <row r="1673" spans="1:15">
      <c r="A1673" s="568"/>
      <c r="B1673" s="572"/>
      <c r="C1673" s="589"/>
      <c r="G1673" s="590"/>
      <c r="H1673" s="591"/>
      <c r="I1673" s="591"/>
      <c r="J1673" s="605"/>
      <c r="K1673" s="592"/>
    </row>
    <row r="1674" spans="1:15">
      <c r="A1674" s="568"/>
      <c r="B1674" s="572" t="s">
        <v>636</v>
      </c>
      <c r="C1674" s="589"/>
      <c r="G1674" s="590"/>
      <c r="H1674" s="591"/>
      <c r="I1674" s="591"/>
      <c r="J1674" s="605">
        <f>J1672+J1640+J1622</f>
        <v>2284</v>
      </c>
      <c r="K1674" s="592" t="s">
        <v>9</v>
      </c>
    </row>
    <row r="1675" spans="1:15">
      <c r="A1675" s="568"/>
      <c r="B1675" s="593"/>
      <c r="C1675" s="589"/>
      <c r="G1675" s="590"/>
      <c r="H1675" s="591"/>
      <c r="I1675" s="591"/>
      <c r="J1675" s="605"/>
      <c r="K1675" s="592"/>
    </row>
    <row r="1676" spans="1:15">
      <c r="A1676" s="568"/>
      <c r="B1676" s="593"/>
      <c r="C1676" s="589"/>
      <c r="G1676" s="590"/>
      <c r="H1676" s="591"/>
      <c r="I1676" s="591"/>
      <c r="J1676" s="605"/>
      <c r="K1676" s="592"/>
    </row>
    <row r="1677" spans="1:15" ht="36" customHeight="1">
      <c r="A1677" s="568" t="s">
        <v>68</v>
      </c>
      <c r="B1677" s="723" t="str">
        <f>'BOQ-C&amp;I'!C56</f>
        <v>Vertical surfaces - For all type of walls (any thickness) including, retaining wall, core walls, shear wall, parapet wall, fins, facia, kerb and median etc... for all floors &amp; levels.</v>
      </c>
      <c r="C1677" s="723"/>
      <c r="D1677" s="723"/>
      <c r="E1677" s="723"/>
      <c r="F1677" s="723"/>
      <c r="G1677" s="723"/>
      <c r="H1677" s="723"/>
      <c r="I1677" s="723"/>
      <c r="J1677" s="723"/>
      <c r="K1677" s="723"/>
    </row>
    <row r="1678" spans="1:15">
      <c r="A1678" s="568"/>
      <c r="B1678" s="593" t="s">
        <v>56</v>
      </c>
      <c r="C1678" s="589"/>
      <c r="G1678" s="590"/>
      <c r="H1678" s="591"/>
      <c r="I1678" s="591"/>
      <c r="J1678" s="591"/>
      <c r="K1678" s="592"/>
    </row>
    <row r="1679" spans="1:15">
      <c r="A1679" s="568"/>
      <c r="B1679" s="584" t="s">
        <v>556</v>
      </c>
      <c r="C1679" s="589"/>
      <c r="G1679" s="637"/>
      <c r="H1679" s="638"/>
      <c r="I1679" s="638"/>
      <c r="J1679" s="638"/>
      <c r="K1679" s="592"/>
      <c r="M1679" s="639"/>
      <c r="N1679" s="639"/>
      <c r="O1679" s="640"/>
    </row>
    <row r="1680" spans="1:15">
      <c r="A1680" s="568"/>
      <c r="B1680" s="593" t="s">
        <v>637</v>
      </c>
      <c r="C1680" s="589"/>
      <c r="D1680" s="578">
        <v>1</v>
      </c>
      <c r="E1680" s="579" t="s">
        <v>8</v>
      </c>
      <c r="F1680" s="569">
        <v>2</v>
      </c>
      <c r="G1680" s="612">
        <v>1.9</v>
      </c>
      <c r="H1680" s="598"/>
      <c r="I1680" s="598">
        <v>1.8</v>
      </c>
      <c r="J1680" s="591">
        <f t="shared" ref="J1680" si="138">PRODUCT(D1680:I1680)</f>
        <v>6.84</v>
      </c>
      <c r="K1680" s="592"/>
      <c r="M1680" s="641"/>
      <c r="N1680" s="639"/>
      <c r="O1680" s="640"/>
    </row>
    <row r="1681" spans="1:15">
      <c r="A1681" s="568"/>
      <c r="B1681" s="593"/>
      <c r="C1681" s="589"/>
      <c r="D1681" s="578">
        <v>1</v>
      </c>
      <c r="E1681" s="579" t="s">
        <v>8</v>
      </c>
      <c r="F1681" s="569">
        <v>1</v>
      </c>
      <c r="G1681" s="612">
        <v>1.95</v>
      </c>
      <c r="H1681" s="598"/>
      <c r="I1681" s="598">
        <v>1.8</v>
      </c>
      <c r="J1681" s="591">
        <f t="shared" ref="J1681" si="139">PRODUCT(D1681:I1681)</f>
        <v>3.51</v>
      </c>
      <c r="K1681" s="592"/>
      <c r="M1681" s="641"/>
      <c r="N1681" s="639"/>
      <c r="O1681" s="640"/>
    </row>
    <row r="1682" spans="1:15">
      <c r="A1682" s="568"/>
      <c r="B1682" s="593"/>
      <c r="C1682" s="589"/>
      <c r="D1682" s="578">
        <v>1</v>
      </c>
      <c r="E1682" s="579" t="s">
        <v>8</v>
      </c>
      <c r="F1682" s="569">
        <v>1</v>
      </c>
      <c r="G1682" s="612">
        <v>2.1</v>
      </c>
      <c r="H1682" s="598"/>
      <c r="I1682" s="598">
        <v>1.8</v>
      </c>
      <c r="J1682" s="591">
        <f t="shared" ref="J1682:J1684" si="140">PRODUCT(D1682:I1682)</f>
        <v>3.7800000000000002</v>
      </c>
      <c r="K1682" s="592"/>
      <c r="M1682" s="641"/>
      <c r="N1682" s="639"/>
      <c r="O1682" s="640"/>
    </row>
    <row r="1683" spans="1:15">
      <c r="A1683" s="568"/>
      <c r="B1683" s="593" t="s">
        <v>599</v>
      </c>
      <c r="C1683" s="589"/>
      <c r="D1683" s="578">
        <v>1</v>
      </c>
      <c r="E1683" s="579" t="s">
        <v>8</v>
      </c>
      <c r="F1683" s="569">
        <v>2</v>
      </c>
      <c r="G1683" s="612">
        <v>1.9</v>
      </c>
      <c r="H1683" s="598"/>
      <c r="I1683" s="598">
        <v>1.8</v>
      </c>
      <c r="J1683" s="591">
        <f t="shared" si="140"/>
        <v>6.84</v>
      </c>
      <c r="K1683" s="592"/>
      <c r="M1683" s="641"/>
      <c r="N1683" s="639"/>
      <c r="O1683" s="640"/>
    </row>
    <row r="1684" spans="1:15">
      <c r="A1684" s="568"/>
      <c r="B1684" s="593"/>
      <c r="C1684" s="589"/>
      <c r="D1684" s="578">
        <v>1</v>
      </c>
      <c r="E1684" s="579" t="s">
        <v>8</v>
      </c>
      <c r="F1684" s="569">
        <v>1</v>
      </c>
      <c r="G1684" s="612">
        <v>1.95</v>
      </c>
      <c r="H1684" s="598"/>
      <c r="I1684" s="598">
        <v>1.8</v>
      </c>
      <c r="J1684" s="591">
        <f t="shared" si="140"/>
        <v>3.51</v>
      </c>
      <c r="K1684" s="592"/>
      <c r="M1684" s="641"/>
      <c r="N1684" s="639"/>
      <c r="O1684" s="640"/>
    </row>
    <row r="1685" spans="1:15">
      <c r="A1685" s="568"/>
      <c r="B1685" s="593"/>
      <c r="C1685" s="589"/>
      <c r="D1685" s="578">
        <v>1</v>
      </c>
      <c r="E1685" s="579" t="s">
        <v>8</v>
      </c>
      <c r="F1685" s="569">
        <v>1</v>
      </c>
      <c r="G1685" s="612">
        <v>2.1</v>
      </c>
      <c r="H1685" s="598"/>
      <c r="I1685" s="598">
        <v>1.8</v>
      </c>
      <c r="J1685" s="591">
        <f t="shared" ref="J1685" si="141">PRODUCT(D1685:I1685)</f>
        <v>3.7800000000000002</v>
      </c>
      <c r="K1685" s="592"/>
      <c r="M1685" s="641"/>
      <c r="N1685" s="639"/>
      <c r="O1685" s="640"/>
    </row>
    <row r="1686" spans="1:15">
      <c r="A1686" s="568"/>
      <c r="B1686" s="584" t="s">
        <v>551</v>
      </c>
      <c r="C1686" s="589"/>
      <c r="G1686" s="612"/>
      <c r="H1686" s="598"/>
      <c r="I1686" s="598"/>
      <c r="J1686" s="591"/>
      <c r="K1686" s="592"/>
      <c r="M1686" s="641"/>
      <c r="N1686" s="639"/>
      <c r="O1686" s="640"/>
    </row>
    <row r="1687" spans="1:15">
      <c r="A1687" s="568"/>
      <c r="B1687" s="593" t="s">
        <v>619</v>
      </c>
      <c r="C1687" s="589"/>
      <c r="D1687" s="578">
        <v>2</v>
      </c>
      <c r="E1687" s="579" t="s">
        <v>8</v>
      </c>
      <c r="F1687" s="569">
        <v>1</v>
      </c>
      <c r="G1687" s="590">
        <v>5.4</v>
      </c>
      <c r="H1687" s="591"/>
      <c r="I1687" s="591">
        <f>1.5/2</f>
        <v>0.75</v>
      </c>
      <c r="J1687" s="598">
        <f t="shared" ref="J1687:J1688" si="142">ROUNDUP(PRODUCT(D1687:I1687),2)</f>
        <v>8.1</v>
      </c>
      <c r="K1687" s="592"/>
      <c r="M1687" s="641"/>
      <c r="N1687" s="639"/>
      <c r="O1687" s="640"/>
    </row>
    <row r="1688" spans="1:15">
      <c r="A1688" s="568"/>
      <c r="B1688" s="593" t="s">
        <v>620</v>
      </c>
      <c r="C1688" s="589"/>
      <c r="D1688" s="578">
        <v>2</v>
      </c>
      <c r="E1688" s="579" t="s">
        <v>8</v>
      </c>
      <c r="F1688" s="569">
        <v>1</v>
      </c>
      <c r="G1688" s="590">
        <f>3.2+1.75+1.75</f>
        <v>6.7</v>
      </c>
      <c r="H1688" s="591"/>
      <c r="I1688" s="591">
        <v>1.5</v>
      </c>
      <c r="J1688" s="598">
        <f t="shared" si="142"/>
        <v>20.100000000000001</v>
      </c>
      <c r="K1688" s="592"/>
      <c r="M1688" s="642"/>
      <c r="N1688" s="643"/>
      <c r="O1688" s="644"/>
    </row>
    <row r="1689" spans="1:15">
      <c r="A1689" s="568"/>
      <c r="B1689" s="584" t="s">
        <v>509</v>
      </c>
      <c r="C1689" s="589"/>
      <c r="G1689" s="590"/>
      <c r="H1689" s="591"/>
      <c r="I1689" s="591"/>
      <c r="J1689" s="591"/>
      <c r="K1689" s="592"/>
      <c r="M1689" s="645"/>
      <c r="N1689" s="646"/>
      <c r="O1689" s="644"/>
    </row>
    <row r="1690" spans="1:15">
      <c r="A1690" s="568"/>
      <c r="B1690" s="593" t="s">
        <v>1344</v>
      </c>
      <c r="C1690" s="606"/>
      <c r="D1690" s="578">
        <v>2</v>
      </c>
      <c r="E1690" s="579" t="s">
        <v>8</v>
      </c>
      <c r="F1690" s="569">
        <v>2</v>
      </c>
      <c r="G1690" s="594">
        <v>4</v>
      </c>
      <c r="H1690" s="618"/>
      <c r="I1690" s="594">
        <v>2.0499999999999998</v>
      </c>
      <c r="J1690" s="597">
        <f t="shared" ref="J1690:J1691" si="143">PRODUCT(D1690:I1690)</f>
        <v>32.799999999999997</v>
      </c>
      <c r="K1690" s="592"/>
      <c r="M1690" s="645"/>
      <c r="N1690" s="646"/>
      <c r="O1690" s="644"/>
    </row>
    <row r="1691" spans="1:15">
      <c r="A1691" s="568"/>
      <c r="B1691" s="593" t="s">
        <v>1345</v>
      </c>
      <c r="C1691" s="606"/>
      <c r="D1691" s="578">
        <v>2</v>
      </c>
      <c r="E1691" s="579" t="s">
        <v>8</v>
      </c>
      <c r="F1691" s="569">
        <v>3</v>
      </c>
      <c r="G1691" s="594">
        <v>1.8</v>
      </c>
      <c r="H1691" s="618"/>
      <c r="I1691" s="594">
        <v>2.0499999999999998</v>
      </c>
      <c r="J1691" s="597">
        <f t="shared" si="143"/>
        <v>22.14</v>
      </c>
      <c r="K1691" s="592"/>
      <c r="M1691" s="642"/>
      <c r="N1691" s="643"/>
      <c r="O1691" s="644"/>
    </row>
    <row r="1692" spans="1:15">
      <c r="A1692" s="568"/>
      <c r="B1692" s="593" t="s">
        <v>26</v>
      </c>
      <c r="C1692" s="589"/>
      <c r="D1692" s="578">
        <v>2</v>
      </c>
      <c r="E1692" s="579" t="s">
        <v>8</v>
      </c>
      <c r="F1692" s="569">
        <v>1</v>
      </c>
      <c r="G1692" s="621">
        <v>91.91</v>
      </c>
      <c r="H1692" s="598"/>
      <c r="I1692" s="598">
        <v>1.05</v>
      </c>
      <c r="J1692" s="591">
        <f>PRODUCT(D1692:I1692)</f>
        <v>193.011</v>
      </c>
      <c r="K1692" s="592"/>
      <c r="M1692" s="645"/>
      <c r="N1692" s="646"/>
      <c r="O1692" s="644"/>
    </row>
    <row r="1693" spans="1:15">
      <c r="A1693" s="568"/>
      <c r="B1693" s="593" t="s">
        <v>628</v>
      </c>
      <c r="C1693" s="589"/>
      <c r="D1693" s="578">
        <v>2</v>
      </c>
      <c r="E1693" s="579" t="s">
        <v>8</v>
      </c>
      <c r="F1693" s="569">
        <v>1</v>
      </c>
      <c r="G1693" s="612">
        <v>20.9</v>
      </c>
      <c r="H1693" s="598"/>
      <c r="I1693" s="598">
        <v>0.3</v>
      </c>
      <c r="J1693" s="591">
        <f t="shared" ref="J1693:J1694" si="144">PRODUCT(D1693:I1693)</f>
        <v>12.54</v>
      </c>
      <c r="K1693" s="592"/>
      <c r="M1693" s="645"/>
      <c r="N1693" s="646"/>
      <c r="O1693" s="644"/>
    </row>
    <row r="1694" spans="1:15">
      <c r="A1694" s="568"/>
      <c r="B1694" s="593" t="s">
        <v>623</v>
      </c>
      <c r="C1694" s="589"/>
      <c r="D1694" s="578">
        <v>2</v>
      </c>
      <c r="E1694" s="579" t="s">
        <v>8</v>
      </c>
      <c r="F1694" s="569">
        <v>1</v>
      </c>
      <c r="G1694" s="612">
        <f>10196/1000</f>
        <v>10.196</v>
      </c>
      <c r="H1694" s="598"/>
      <c r="I1694" s="598">
        <v>0.3</v>
      </c>
      <c r="J1694" s="591">
        <f t="shared" si="144"/>
        <v>6.1175999999999995</v>
      </c>
      <c r="K1694" s="592"/>
      <c r="M1694" s="645"/>
      <c r="N1694" s="646"/>
      <c r="O1694" s="644"/>
    </row>
    <row r="1695" spans="1:15">
      <c r="A1695" s="568"/>
      <c r="B1695" s="593" t="s">
        <v>792</v>
      </c>
      <c r="C1695" s="606"/>
      <c r="G1695" s="647"/>
      <c r="H1695" s="648"/>
      <c r="I1695" s="648"/>
      <c r="J1695" s="605"/>
      <c r="K1695" s="592"/>
      <c r="M1695" s="645"/>
      <c r="N1695" s="646"/>
      <c r="O1695" s="644"/>
    </row>
    <row r="1696" spans="1:15">
      <c r="A1696" s="568"/>
      <c r="B1696" s="593" t="s">
        <v>1344</v>
      </c>
      <c r="C1696" s="606"/>
      <c r="D1696" s="578">
        <v>2</v>
      </c>
      <c r="E1696" s="579" t="s">
        <v>8</v>
      </c>
      <c r="F1696" s="569">
        <v>2</v>
      </c>
      <c r="G1696" s="618">
        <v>7.7</v>
      </c>
      <c r="H1696" s="618"/>
      <c r="I1696" s="618">
        <v>2.4500000000000002</v>
      </c>
      <c r="J1696" s="597">
        <f t="shared" ref="J1696:J1697" si="145">PRODUCT(D1696:I1696)</f>
        <v>75.460000000000008</v>
      </c>
      <c r="K1696" s="592"/>
      <c r="M1696" s="645"/>
      <c r="N1696" s="646"/>
      <c r="O1696" s="644"/>
    </row>
    <row r="1697" spans="1:15">
      <c r="A1697" s="568"/>
      <c r="B1697" s="593" t="s">
        <v>1345</v>
      </c>
      <c r="C1697" s="606"/>
      <c r="D1697" s="578">
        <v>2</v>
      </c>
      <c r="E1697" s="579" t="s">
        <v>8</v>
      </c>
      <c r="F1697" s="569">
        <v>4</v>
      </c>
      <c r="G1697" s="618">
        <v>3</v>
      </c>
      <c r="H1697" s="618"/>
      <c r="I1697" s="618">
        <v>2.4500000000000002</v>
      </c>
      <c r="J1697" s="597">
        <f t="shared" si="145"/>
        <v>58.800000000000004</v>
      </c>
      <c r="K1697" s="592"/>
      <c r="M1697" s="649"/>
      <c r="N1697" s="643"/>
      <c r="O1697" s="640"/>
    </row>
    <row r="1698" spans="1:15">
      <c r="A1698" s="568"/>
      <c r="B1698" s="593" t="s">
        <v>1401</v>
      </c>
      <c r="C1698" s="608"/>
      <c r="G1698" s="650"/>
      <c r="H1698" s="618"/>
      <c r="I1698" s="618"/>
      <c r="J1698" s="597"/>
      <c r="K1698" s="592"/>
      <c r="M1698" s="639"/>
      <c r="N1698" s="643"/>
      <c r="O1698" s="640"/>
    </row>
    <row r="1699" spans="1:15">
      <c r="A1699" s="568"/>
      <c r="B1699" s="593" t="s">
        <v>1344</v>
      </c>
      <c r="C1699" s="606"/>
      <c r="D1699" s="578">
        <v>2</v>
      </c>
      <c r="E1699" s="579" t="s">
        <v>8</v>
      </c>
      <c r="F1699" s="569">
        <v>2</v>
      </c>
      <c r="G1699" s="618">
        <v>7.1</v>
      </c>
      <c r="H1699" s="618"/>
      <c r="I1699" s="618">
        <v>4.4000000000000004</v>
      </c>
      <c r="J1699" s="597">
        <f t="shared" ref="J1699:J1700" si="146">PRODUCT(D1699:I1699)</f>
        <v>124.96000000000001</v>
      </c>
      <c r="K1699" s="592"/>
      <c r="M1699" s="639"/>
      <c r="N1699" s="639"/>
      <c r="O1699" s="640"/>
    </row>
    <row r="1700" spans="1:15">
      <c r="A1700" s="568"/>
      <c r="B1700" s="593" t="s">
        <v>1345</v>
      </c>
      <c r="C1700" s="606"/>
      <c r="D1700" s="578">
        <v>2</v>
      </c>
      <c r="E1700" s="579" t="s">
        <v>8</v>
      </c>
      <c r="F1700" s="569">
        <v>4</v>
      </c>
      <c r="G1700" s="618">
        <v>2.54</v>
      </c>
      <c r="H1700" s="618"/>
      <c r="I1700" s="618">
        <v>4.4000000000000004</v>
      </c>
      <c r="J1700" s="597">
        <f t="shared" si="146"/>
        <v>89.408000000000015</v>
      </c>
      <c r="K1700" s="592"/>
      <c r="M1700" s="639"/>
      <c r="N1700" s="651"/>
      <c r="O1700" s="640"/>
    </row>
    <row r="1701" spans="1:15">
      <c r="A1701" s="568"/>
      <c r="B1701" s="593"/>
      <c r="C1701" s="589"/>
      <c r="G1701" s="590"/>
      <c r="H1701" s="591"/>
      <c r="I1701" s="591"/>
      <c r="J1701" s="605">
        <f>SUM(J1680:J1700)</f>
        <v>671.69659999999999</v>
      </c>
      <c r="K1701" s="592"/>
      <c r="M1701" s="639"/>
      <c r="N1701" s="651"/>
      <c r="O1701" s="640"/>
    </row>
    <row r="1702" spans="1:15">
      <c r="A1702" s="568"/>
      <c r="B1702" s="593"/>
      <c r="C1702" s="589"/>
      <c r="G1702" s="590"/>
      <c r="H1702" s="591"/>
      <c r="I1702" s="591"/>
      <c r="J1702" s="605">
        <f>ROUNDUP(J1701,0)</f>
        <v>672</v>
      </c>
      <c r="K1702" s="592" t="s">
        <v>9</v>
      </c>
      <c r="M1702" s="639"/>
      <c r="N1702" s="651"/>
    </row>
    <row r="1703" spans="1:15">
      <c r="A1703" s="568"/>
      <c r="B1703" s="593"/>
      <c r="C1703" s="589"/>
      <c r="G1703" s="626"/>
      <c r="H1703" s="627"/>
      <c r="I1703" s="627"/>
      <c r="J1703" s="627"/>
      <c r="K1703" s="592"/>
      <c r="M1703" s="639"/>
      <c r="N1703" s="652"/>
    </row>
    <row r="1704" spans="1:15" ht="36" customHeight="1">
      <c r="A1704" s="568" t="s">
        <v>67</v>
      </c>
      <c r="B1704" s="723" t="str">
        <f>'BOQ-C&amp;I'!C57</f>
        <v>Curved surfaces such as  RC walls, sides and bottom of any curved beam, sides of curved slab, lintel, curved sunshade,  ramp of any curved shapes and curved slab bottom and sides in elevation features and structures .</v>
      </c>
      <c r="C1704" s="723"/>
      <c r="D1704" s="723"/>
      <c r="E1704" s="723"/>
      <c r="F1704" s="723"/>
      <c r="G1704" s="723"/>
      <c r="H1704" s="723"/>
      <c r="I1704" s="723"/>
      <c r="J1704" s="723"/>
      <c r="K1704" s="723"/>
      <c r="M1704" s="639"/>
      <c r="N1704" s="643"/>
      <c r="O1704" s="640"/>
    </row>
    <row r="1705" spans="1:15">
      <c r="A1705" s="568"/>
      <c r="B1705" s="593" t="s">
        <v>12</v>
      </c>
      <c r="C1705" s="599"/>
      <c r="G1705" s="599"/>
      <c r="H1705" s="599"/>
      <c r="I1705" s="599"/>
      <c r="J1705" s="599"/>
      <c r="K1705" s="592"/>
    </row>
    <row r="1706" spans="1:15">
      <c r="A1706" s="568"/>
      <c r="B1706" s="593" t="s">
        <v>1354</v>
      </c>
      <c r="C1706" s="599"/>
      <c r="D1706" s="578">
        <v>1</v>
      </c>
      <c r="E1706" s="579" t="s">
        <v>8</v>
      </c>
      <c r="F1706" s="569">
        <v>1</v>
      </c>
      <c r="G1706" s="600">
        <f>32.47+0.2</f>
        <v>32.67</v>
      </c>
      <c r="H1706" s="600"/>
      <c r="I1706" s="600">
        <v>0.2</v>
      </c>
      <c r="J1706" s="597">
        <f t="shared" ref="J1706:J1715" si="147">PRODUCT(D1706:I1706)</f>
        <v>6.5340000000000007</v>
      </c>
      <c r="K1706" s="592"/>
    </row>
    <row r="1707" spans="1:15">
      <c r="A1707" s="568"/>
      <c r="B1707" s="593"/>
      <c r="C1707" s="599"/>
      <c r="D1707" s="578">
        <v>1</v>
      </c>
      <c r="E1707" s="579" t="s">
        <v>8</v>
      </c>
      <c r="F1707" s="569">
        <v>1</v>
      </c>
      <c r="G1707" s="600">
        <f>32.47+0.2</f>
        <v>32.67</v>
      </c>
      <c r="H1707" s="600">
        <v>0.2</v>
      </c>
      <c r="I1707" s="600"/>
      <c r="J1707" s="597">
        <f t="shared" si="147"/>
        <v>6.5340000000000007</v>
      </c>
      <c r="K1707" s="592"/>
    </row>
    <row r="1708" spans="1:15">
      <c r="A1708" s="568"/>
      <c r="B1708" s="593" t="s">
        <v>1355</v>
      </c>
      <c r="C1708" s="599"/>
      <c r="D1708" s="578">
        <v>1</v>
      </c>
      <c r="E1708" s="579" t="s">
        <v>8</v>
      </c>
      <c r="F1708" s="569">
        <v>2</v>
      </c>
      <c r="G1708" s="600">
        <v>10.199999999999999</v>
      </c>
      <c r="H1708" s="600"/>
      <c r="I1708" s="600">
        <v>0.2</v>
      </c>
      <c r="J1708" s="597">
        <f t="shared" si="147"/>
        <v>4.08</v>
      </c>
      <c r="K1708" s="592"/>
    </row>
    <row r="1709" spans="1:15">
      <c r="A1709" s="568"/>
      <c r="B1709" s="593"/>
      <c r="C1709" s="599"/>
      <c r="D1709" s="578">
        <v>1</v>
      </c>
      <c r="E1709" s="579" t="s">
        <v>8</v>
      </c>
      <c r="F1709" s="569">
        <v>2</v>
      </c>
      <c r="G1709" s="600">
        <v>10.199999999999999</v>
      </c>
      <c r="H1709" s="600">
        <v>0.2</v>
      </c>
      <c r="I1709" s="600"/>
      <c r="J1709" s="597">
        <f t="shared" si="147"/>
        <v>4.08</v>
      </c>
      <c r="K1709" s="592"/>
    </row>
    <row r="1710" spans="1:15">
      <c r="A1710" s="568"/>
      <c r="B1710" s="593" t="s">
        <v>1356</v>
      </c>
      <c r="C1710" s="599"/>
      <c r="D1710" s="578">
        <v>1</v>
      </c>
      <c r="E1710" s="579" t="s">
        <v>8</v>
      </c>
      <c r="F1710" s="569">
        <v>1</v>
      </c>
      <c r="G1710" s="600">
        <v>7.9</v>
      </c>
      <c r="H1710" s="600"/>
      <c r="I1710" s="600">
        <v>0.2</v>
      </c>
      <c r="J1710" s="597">
        <f t="shared" si="147"/>
        <v>1.58</v>
      </c>
      <c r="K1710" s="592"/>
    </row>
    <row r="1711" spans="1:15">
      <c r="A1711" s="568"/>
      <c r="B1711" s="593"/>
      <c r="C1711" s="599"/>
      <c r="D1711" s="578">
        <v>1</v>
      </c>
      <c r="E1711" s="579" t="s">
        <v>8</v>
      </c>
      <c r="F1711" s="569">
        <v>1</v>
      </c>
      <c r="G1711" s="600">
        <v>7.9</v>
      </c>
      <c r="H1711" s="600">
        <v>0.2</v>
      </c>
      <c r="I1711" s="600"/>
      <c r="J1711" s="597">
        <f t="shared" si="147"/>
        <v>1.58</v>
      </c>
      <c r="K1711" s="592"/>
    </row>
    <row r="1712" spans="1:15">
      <c r="A1712" s="568"/>
      <c r="B1712" s="593" t="s">
        <v>1355</v>
      </c>
      <c r="C1712" s="599"/>
      <c r="D1712" s="578">
        <v>1</v>
      </c>
      <c r="E1712" s="579" t="s">
        <v>8</v>
      </c>
      <c r="F1712" s="569">
        <v>2</v>
      </c>
      <c r="G1712" s="600">
        <v>10.5</v>
      </c>
      <c r="H1712" s="600"/>
      <c r="I1712" s="600">
        <v>0.2</v>
      </c>
      <c r="J1712" s="597">
        <f t="shared" si="147"/>
        <v>4.2</v>
      </c>
      <c r="K1712" s="592"/>
    </row>
    <row r="1713" spans="1:14">
      <c r="A1713" s="568"/>
      <c r="B1713" s="593"/>
      <c r="C1713" s="599"/>
      <c r="D1713" s="578">
        <v>1</v>
      </c>
      <c r="E1713" s="579" t="s">
        <v>8</v>
      </c>
      <c r="F1713" s="569">
        <v>2</v>
      </c>
      <c r="G1713" s="600">
        <v>10.5</v>
      </c>
      <c r="H1713" s="600">
        <v>0.2</v>
      </c>
      <c r="I1713" s="600"/>
      <c r="J1713" s="597">
        <f t="shared" si="147"/>
        <v>4.2</v>
      </c>
      <c r="K1713" s="592"/>
    </row>
    <row r="1714" spans="1:14">
      <c r="A1714" s="568"/>
      <c r="B1714" s="593" t="s">
        <v>1356</v>
      </c>
      <c r="C1714" s="599"/>
      <c r="D1714" s="578">
        <v>1</v>
      </c>
      <c r="E1714" s="579" t="s">
        <v>8</v>
      </c>
      <c r="F1714" s="569">
        <v>1</v>
      </c>
      <c r="G1714" s="600">
        <v>8.5</v>
      </c>
      <c r="H1714" s="600"/>
      <c r="I1714" s="600">
        <v>0.2</v>
      </c>
      <c r="J1714" s="597">
        <f t="shared" si="147"/>
        <v>1.7000000000000002</v>
      </c>
      <c r="K1714" s="592"/>
    </row>
    <row r="1715" spans="1:14">
      <c r="A1715" s="568"/>
      <c r="B1715" s="593"/>
      <c r="C1715" s="599"/>
      <c r="D1715" s="578">
        <v>1</v>
      </c>
      <c r="E1715" s="579" t="s">
        <v>8</v>
      </c>
      <c r="F1715" s="569">
        <v>1</v>
      </c>
      <c r="G1715" s="600">
        <v>8.5</v>
      </c>
      <c r="H1715" s="600">
        <v>0.2</v>
      </c>
      <c r="I1715" s="600"/>
      <c r="J1715" s="597">
        <f t="shared" si="147"/>
        <v>1.7000000000000002</v>
      </c>
      <c r="K1715" s="592"/>
    </row>
    <row r="1716" spans="1:14">
      <c r="A1716" s="568"/>
      <c r="B1716" s="593"/>
      <c r="C1716" s="589"/>
      <c r="G1716" s="590"/>
      <c r="H1716" s="591"/>
      <c r="I1716" s="591"/>
      <c r="J1716" s="605">
        <f>SUM(J1706:J1715)</f>
        <v>36.188000000000002</v>
      </c>
      <c r="K1716" s="592"/>
    </row>
    <row r="1717" spans="1:14">
      <c r="A1717" s="568"/>
      <c r="B1717" s="593"/>
      <c r="C1717" s="589"/>
      <c r="G1717" s="590"/>
      <c r="H1717" s="591"/>
      <c r="I1717" s="591"/>
      <c r="J1717" s="605">
        <f>ROUNDUP(J1716,0)</f>
        <v>37</v>
      </c>
      <c r="K1717" s="592" t="s">
        <v>9</v>
      </c>
    </row>
    <row r="1718" spans="1:14" ht="147.75" customHeight="1">
      <c r="A1718" s="568">
        <f>A1066+1</f>
        <v>12</v>
      </c>
      <c r="B1718" s="749" t="str">
        <f>'BOQ-C&amp;I'!C58</f>
        <v>Extra for additional height in centering, shuttering wherever required with adequate bracing, propping etc.  including cost of de-shuttering and decentring at all levels, over a height of 3.30 m (height shall be the dimension as measured from the top of the lower slab / pcc sub base to the bottom of the subsequent upper slab) for every additional height of 1m or part thereof  for plan area to be measured Suspended  floors, flat slabs, drops, post tensioned slabs, slabs curved in plan to any radius, grid slab, roofs, landings, beams including spiral  and curved beams of all radius, post tensioned beams, grid beams, plinth beams, girders,  bressumers, cantilevers and balconies etc. and as complete with all respects complying with relevant standard specification, as directed by the departmental officers.</v>
      </c>
      <c r="C1718" s="749"/>
      <c r="D1718" s="749"/>
      <c r="E1718" s="749"/>
      <c r="F1718" s="749"/>
      <c r="G1718" s="749"/>
      <c r="H1718" s="749"/>
      <c r="I1718" s="749"/>
      <c r="J1718" s="749"/>
      <c r="K1718" s="749"/>
    </row>
    <row r="1719" spans="1:14">
      <c r="A1719" s="568"/>
      <c r="B1719" s="593" t="s">
        <v>506</v>
      </c>
      <c r="C1719" s="589"/>
      <c r="D1719" s="578">
        <v>1</v>
      </c>
      <c r="E1719" s="579" t="s">
        <v>8</v>
      </c>
      <c r="F1719" s="569">
        <v>1</v>
      </c>
      <c r="G1719" s="725">
        <v>10</v>
      </c>
      <c r="H1719" s="726"/>
      <c r="I1719" s="591"/>
      <c r="J1719" s="605">
        <f>PRODUCT(D1719:I1719)</f>
        <v>10</v>
      </c>
      <c r="K1719" s="592" t="s">
        <v>9</v>
      </c>
    </row>
    <row r="1720" spans="1:14">
      <c r="A1720" s="568"/>
      <c r="B1720" s="593"/>
      <c r="C1720" s="589"/>
      <c r="G1720" s="653"/>
      <c r="H1720" s="624"/>
      <c r="I1720" s="591"/>
      <c r="J1720" s="605"/>
      <c r="K1720" s="592"/>
    </row>
    <row r="1721" spans="1:14">
      <c r="A1721" s="568"/>
      <c r="B1721" s="584" t="str">
        <f>'BOQ-C&amp;I'!C60</f>
        <v>MASONRY WORKS</v>
      </c>
      <c r="C1721" s="654"/>
      <c r="G1721" s="612"/>
      <c r="H1721" s="598"/>
      <c r="I1721" s="598"/>
      <c r="J1721" s="598"/>
      <c r="K1721" s="581"/>
    </row>
    <row r="1722" spans="1:14" ht="150" customHeight="1">
      <c r="A1722" s="568">
        <f>A1718+1</f>
        <v>13</v>
      </c>
      <c r="B1722" s="749" t="str">
        <f>'BOQ-C&amp;I'!C61</f>
        <v>Providing and constructing cement concrete solid block masonry work at all levels in cement mortar 1:5 using standard size of 400 x 200 x 200 mm thick of solid cement concrete blocks of thickness as given below, with minimum compressive strength of 5 N/Sq.mm. conforming to IS 2185 or equivalent BS and Fly ash conforming to IS : 3812 (Part III)-1966* may be used for part replacement of fine aggregate up to a limit of 20 percent. etc. complete and as directed. Rate to include all materials, labour charges, wastages  for working at all levels with necessary lead and lifts, transportation charges, loading, unloading, scaffolding, staging, curing, fuel, consumables as complete with all respects complying with relevant standard specification and as directed by the departmental officers.</v>
      </c>
      <c r="C1722" s="749"/>
      <c r="D1722" s="749"/>
      <c r="E1722" s="749"/>
      <c r="F1722" s="749"/>
      <c r="G1722" s="749"/>
      <c r="H1722" s="749"/>
      <c r="I1722" s="749"/>
      <c r="J1722" s="749"/>
      <c r="K1722" s="749"/>
    </row>
    <row r="1723" spans="1:14">
      <c r="A1723" s="568">
        <f>A1719+1</f>
        <v>1</v>
      </c>
      <c r="B1723" s="719" t="str">
        <f>'BOQ-C&amp;I'!C62</f>
        <v>Foundation and Plinth / Basement Level</v>
      </c>
      <c r="C1723" s="719"/>
      <c r="D1723" s="719"/>
      <c r="E1723" s="719"/>
      <c r="F1723" s="719"/>
      <c r="G1723" s="719"/>
      <c r="H1723" s="719"/>
      <c r="I1723" s="719"/>
      <c r="J1723" s="719"/>
      <c r="K1723" s="719"/>
    </row>
    <row r="1724" spans="1:14">
      <c r="A1724" s="568" t="s">
        <v>71</v>
      </c>
      <c r="B1724" s="576" t="str">
        <f>'BOQ-C&amp;I'!C63</f>
        <v>Solid block of size 400 x 200 x 200 mm</v>
      </c>
      <c r="C1724" s="589"/>
      <c r="G1724" s="590"/>
      <c r="H1724" s="591"/>
      <c r="I1724" s="591"/>
      <c r="J1724" s="591"/>
      <c r="K1724" s="592"/>
    </row>
    <row r="1725" spans="1:14">
      <c r="A1725" s="568"/>
      <c r="B1725" s="584" t="s">
        <v>50</v>
      </c>
      <c r="C1725" s="589"/>
      <c r="G1725" s="590"/>
      <c r="H1725" s="591"/>
      <c r="I1725" s="591"/>
      <c r="J1725" s="591"/>
      <c r="K1725" s="592"/>
    </row>
    <row r="1726" spans="1:14">
      <c r="A1726" s="568"/>
      <c r="B1726" s="593" t="s">
        <v>1022</v>
      </c>
      <c r="C1726" s="578" t="s">
        <v>1203</v>
      </c>
      <c r="D1726" s="578">
        <v>1</v>
      </c>
      <c r="E1726" s="579" t="s">
        <v>8</v>
      </c>
      <c r="F1726" s="569">
        <v>1</v>
      </c>
      <c r="G1726" s="590">
        <f>32.92-8*0.2</f>
        <v>31.32</v>
      </c>
      <c r="H1726" s="591"/>
      <c r="I1726" s="591">
        <v>0.9</v>
      </c>
      <c r="J1726" s="591">
        <f>PRODUCT(D1726:I1726)</f>
        <v>28.188000000000002</v>
      </c>
      <c r="K1726" s="592"/>
      <c r="M1726" s="639"/>
      <c r="N1726" s="639"/>
    </row>
    <row r="1727" spans="1:14">
      <c r="A1727" s="568"/>
      <c r="B1727" s="593"/>
      <c r="C1727" s="578"/>
      <c r="D1727" s="578">
        <v>1</v>
      </c>
      <c r="E1727" s="579" t="s">
        <v>8</v>
      </c>
      <c r="F1727" s="569">
        <v>1</v>
      </c>
      <c r="G1727" s="590">
        <v>1.425</v>
      </c>
      <c r="H1727" s="591"/>
      <c r="I1727" s="591">
        <v>0.9</v>
      </c>
      <c r="J1727" s="591">
        <f t="shared" ref="J1727:J1736" si="148">PRODUCT(D1727:I1727)</f>
        <v>1.2825</v>
      </c>
      <c r="K1727" s="592"/>
      <c r="M1727" s="639"/>
      <c r="N1727" s="639"/>
    </row>
    <row r="1728" spans="1:14">
      <c r="A1728" s="568"/>
      <c r="B1728" s="593"/>
      <c r="C1728" s="578" t="s">
        <v>1030</v>
      </c>
      <c r="D1728" s="578">
        <v>1</v>
      </c>
      <c r="E1728" s="579" t="s">
        <v>8</v>
      </c>
      <c r="F1728" s="569">
        <v>1</v>
      </c>
      <c r="G1728" s="590">
        <v>5.07</v>
      </c>
      <c r="H1728" s="591"/>
      <c r="I1728" s="591">
        <v>0.9</v>
      </c>
      <c r="J1728" s="591">
        <f t="shared" si="148"/>
        <v>4.5630000000000006</v>
      </c>
      <c r="K1728" s="592"/>
      <c r="M1728" s="639"/>
      <c r="N1728" s="639"/>
    </row>
    <row r="1729" spans="1:14">
      <c r="A1729" s="568"/>
      <c r="B1729" s="593"/>
      <c r="C1729" s="578" t="s">
        <v>577</v>
      </c>
      <c r="D1729" s="578">
        <v>1</v>
      </c>
      <c r="E1729" s="579" t="s">
        <v>8</v>
      </c>
      <c r="F1729" s="569">
        <v>1</v>
      </c>
      <c r="G1729" s="590">
        <f>0.9+1.2+3.8+3.8+7.8+3.8</f>
        <v>21.3</v>
      </c>
      <c r="H1729" s="591"/>
      <c r="I1729" s="591">
        <v>0.9</v>
      </c>
      <c r="J1729" s="591">
        <f t="shared" si="148"/>
        <v>19.170000000000002</v>
      </c>
      <c r="K1729" s="592"/>
      <c r="M1729" s="639"/>
      <c r="N1729" s="639"/>
    </row>
    <row r="1730" spans="1:14">
      <c r="A1730" s="568"/>
      <c r="B1730" s="593"/>
      <c r="C1730" s="578" t="s">
        <v>574</v>
      </c>
      <c r="D1730" s="578">
        <v>1</v>
      </c>
      <c r="E1730" s="579" t="s">
        <v>8</v>
      </c>
      <c r="F1730" s="569">
        <v>1</v>
      </c>
      <c r="G1730" s="590">
        <f>1.5+9.27-0.8+4.1+2.5</f>
        <v>16.57</v>
      </c>
      <c r="H1730" s="591"/>
      <c r="I1730" s="591">
        <v>0.9</v>
      </c>
      <c r="J1730" s="591">
        <f t="shared" si="148"/>
        <v>14.913</v>
      </c>
      <c r="K1730" s="592"/>
      <c r="M1730" s="639"/>
      <c r="N1730" s="639"/>
    </row>
    <row r="1731" spans="1:14">
      <c r="A1731" s="568"/>
      <c r="B1731" s="593" t="s">
        <v>1204</v>
      </c>
      <c r="C1731" s="578" t="s">
        <v>572</v>
      </c>
      <c r="D1731" s="578">
        <v>1</v>
      </c>
      <c r="E1731" s="579" t="s">
        <v>8</v>
      </c>
      <c r="F1731" s="569">
        <v>1</v>
      </c>
      <c r="G1731" s="590">
        <v>4.9000000000000004</v>
      </c>
      <c r="H1731" s="591"/>
      <c r="I1731" s="591">
        <v>0.9</v>
      </c>
      <c r="J1731" s="591">
        <f t="shared" si="148"/>
        <v>4.41</v>
      </c>
      <c r="K1731" s="592"/>
      <c r="M1731" s="639"/>
      <c r="N1731" s="639"/>
    </row>
    <row r="1732" spans="1:14">
      <c r="A1732" s="568"/>
      <c r="B1732" s="593"/>
      <c r="C1732" s="578" t="s">
        <v>491</v>
      </c>
      <c r="D1732" s="578">
        <v>1</v>
      </c>
      <c r="E1732" s="579" t="s">
        <v>8</v>
      </c>
      <c r="F1732" s="569">
        <v>1</v>
      </c>
      <c r="G1732" s="590">
        <f>4.1+0.1+2.2+0.9</f>
        <v>7.3</v>
      </c>
      <c r="H1732" s="591"/>
      <c r="I1732" s="591">
        <v>0.9</v>
      </c>
      <c r="J1732" s="591">
        <f t="shared" si="148"/>
        <v>6.57</v>
      </c>
      <c r="K1732" s="592"/>
      <c r="M1732" s="639"/>
      <c r="N1732" s="639"/>
    </row>
    <row r="1733" spans="1:14">
      <c r="A1733" s="568"/>
      <c r="B1733" s="593"/>
      <c r="C1733" s="578" t="s">
        <v>547</v>
      </c>
      <c r="D1733" s="578">
        <v>1</v>
      </c>
      <c r="E1733" s="579" t="s">
        <v>8</v>
      </c>
      <c r="F1733" s="569">
        <v>1</v>
      </c>
      <c r="G1733" s="590">
        <f>2.5+3.3</f>
        <v>5.8</v>
      </c>
      <c r="H1733" s="591"/>
      <c r="I1733" s="591">
        <v>0.9</v>
      </c>
      <c r="J1733" s="591">
        <f t="shared" si="148"/>
        <v>5.22</v>
      </c>
      <c r="K1733" s="592"/>
      <c r="M1733" s="639"/>
      <c r="N1733" s="639"/>
    </row>
    <row r="1734" spans="1:14">
      <c r="A1734" s="568"/>
      <c r="B1734" s="593" t="s">
        <v>1205</v>
      </c>
      <c r="C1734" s="578" t="s">
        <v>548</v>
      </c>
      <c r="D1734" s="578">
        <v>1</v>
      </c>
      <c r="E1734" s="579" t="s">
        <v>8</v>
      </c>
      <c r="F1734" s="569">
        <v>1</v>
      </c>
      <c r="G1734" s="590">
        <f>0.9+0.1+2.5+2.47+4.8+2+3.3+4.1</f>
        <v>20.170000000000002</v>
      </c>
      <c r="H1734" s="591"/>
      <c r="I1734" s="591">
        <v>0.9</v>
      </c>
      <c r="J1734" s="591">
        <f t="shared" si="148"/>
        <v>18.153000000000002</v>
      </c>
      <c r="K1734" s="592"/>
      <c r="M1734" s="639"/>
      <c r="N1734" s="639"/>
    </row>
    <row r="1735" spans="1:14">
      <c r="A1735" s="568"/>
      <c r="B1735" s="593" t="s">
        <v>1206</v>
      </c>
      <c r="C1735" s="578" t="s">
        <v>489</v>
      </c>
      <c r="D1735" s="578">
        <v>1</v>
      </c>
      <c r="E1735" s="579" t="s">
        <v>8</v>
      </c>
      <c r="F1735" s="569">
        <v>1</v>
      </c>
      <c r="G1735" s="590">
        <f>1.5+1.8+5.4+3.5+0.5+1.5+1+1.5+0.7</f>
        <v>17.399999999999999</v>
      </c>
      <c r="H1735" s="591"/>
      <c r="I1735" s="591">
        <v>0.9</v>
      </c>
      <c r="J1735" s="591">
        <f t="shared" si="148"/>
        <v>15.659999999999998</v>
      </c>
      <c r="K1735" s="592"/>
      <c r="M1735" s="639"/>
      <c r="N1735" s="639"/>
    </row>
    <row r="1736" spans="1:14">
      <c r="A1736" s="568"/>
      <c r="B1736" s="593" t="s">
        <v>1207</v>
      </c>
      <c r="C1736" s="578" t="s">
        <v>583</v>
      </c>
      <c r="D1736" s="578">
        <v>1</v>
      </c>
      <c r="E1736" s="579" t="s">
        <v>8</v>
      </c>
      <c r="F1736" s="569">
        <v>1</v>
      </c>
      <c r="G1736" s="590">
        <v>32.725000000000001</v>
      </c>
      <c r="H1736" s="591"/>
      <c r="I1736" s="591">
        <v>0.9</v>
      </c>
      <c r="J1736" s="591">
        <f t="shared" si="148"/>
        <v>29.452500000000001</v>
      </c>
      <c r="K1736" s="592"/>
      <c r="M1736" s="639"/>
      <c r="N1736" s="639"/>
    </row>
    <row r="1737" spans="1:14">
      <c r="A1737" s="568"/>
      <c r="B1737" s="584" t="s">
        <v>488</v>
      </c>
      <c r="C1737" s="578"/>
      <c r="G1737" s="590"/>
      <c r="H1737" s="591"/>
      <c r="I1737" s="591"/>
      <c r="J1737" s="591"/>
      <c r="K1737" s="592"/>
      <c r="M1737" s="639"/>
      <c r="N1737" s="639"/>
    </row>
    <row r="1738" spans="1:14">
      <c r="A1738" s="568"/>
      <c r="B1738" s="593" t="s">
        <v>549</v>
      </c>
      <c r="C1738" s="578" t="s">
        <v>1208</v>
      </c>
      <c r="D1738" s="578">
        <v>1</v>
      </c>
      <c r="E1738" s="579" t="s">
        <v>8</v>
      </c>
      <c r="F1738" s="569">
        <v>1</v>
      </c>
      <c r="G1738" s="590">
        <f>20-0.2*6</f>
        <v>18.8</v>
      </c>
      <c r="H1738" s="591"/>
      <c r="I1738" s="591">
        <v>0.9</v>
      </c>
      <c r="J1738" s="591">
        <f t="shared" ref="J1738:J1750" si="149">PRODUCT(D1738:I1738)</f>
        <v>16.920000000000002</v>
      </c>
      <c r="K1738" s="592"/>
      <c r="M1738" s="639"/>
      <c r="N1738" s="639"/>
    </row>
    <row r="1739" spans="1:14">
      <c r="A1739" s="568"/>
      <c r="B1739" s="593" t="s">
        <v>1209</v>
      </c>
      <c r="C1739" s="578"/>
      <c r="D1739" s="578">
        <v>1</v>
      </c>
      <c r="E1739" s="579" t="s">
        <v>8</v>
      </c>
      <c r="F1739" s="569">
        <v>0</v>
      </c>
      <c r="G1739" s="590">
        <f>1.6+0.2+9.7+0.1</f>
        <v>11.6</v>
      </c>
      <c r="H1739" s="591"/>
      <c r="I1739" s="591">
        <v>0.9</v>
      </c>
      <c r="J1739" s="591">
        <f t="shared" si="149"/>
        <v>0</v>
      </c>
      <c r="K1739" s="592"/>
      <c r="M1739" s="639"/>
      <c r="N1739" s="639"/>
    </row>
    <row r="1740" spans="1:14">
      <c r="A1740" s="568"/>
      <c r="B1740" s="593"/>
      <c r="C1740" s="578" t="s">
        <v>486</v>
      </c>
      <c r="D1740" s="578">
        <v>1</v>
      </c>
      <c r="E1740" s="579" t="s">
        <v>8</v>
      </c>
      <c r="F1740" s="569">
        <v>0</v>
      </c>
      <c r="G1740" s="590">
        <f>6.4+5.2+1.9+1.8</f>
        <v>15.300000000000002</v>
      </c>
      <c r="H1740" s="591"/>
      <c r="I1740" s="591">
        <v>0.9</v>
      </c>
      <c r="J1740" s="591">
        <f t="shared" si="149"/>
        <v>0</v>
      </c>
      <c r="K1740" s="592"/>
      <c r="M1740" s="639"/>
      <c r="N1740" s="639"/>
    </row>
    <row r="1741" spans="1:14">
      <c r="A1741" s="568"/>
      <c r="B1741" s="593"/>
      <c r="C1741" s="578" t="s">
        <v>1064</v>
      </c>
      <c r="D1741" s="578">
        <v>1</v>
      </c>
      <c r="E1741" s="579" t="s">
        <v>8</v>
      </c>
      <c r="F1741" s="569">
        <v>1</v>
      </c>
      <c r="G1741" s="590">
        <v>8.36</v>
      </c>
      <c r="H1741" s="591"/>
      <c r="I1741" s="591">
        <v>0.9</v>
      </c>
      <c r="J1741" s="591">
        <f t="shared" si="149"/>
        <v>7.524</v>
      </c>
      <c r="K1741" s="592"/>
      <c r="M1741" s="639"/>
      <c r="N1741" s="639"/>
    </row>
    <row r="1742" spans="1:14">
      <c r="A1742" s="568"/>
      <c r="B1742" s="593" t="s">
        <v>484</v>
      </c>
      <c r="C1742" s="578" t="s">
        <v>1070</v>
      </c>
      <c r="D1742" s="578">
        <v>1</v>
      </c>
      <c r="E1742" s="579" t="s">
        <v>8</v>
      </c>
      <c r="F1742" s="569">
        <v>1</v>
      </c>
      <c r="G1742" s="590">
        <v>6.4</v>
      </c>
      <c r="H1742" s="591"/>
      <c r="I1742" s="591">
        <v>0.9</v>
      </c>
      <c r="J1742" s="591">
        <f t="shared" si="149"/>
        <v>5.7600000000000007</v>
      </c>
      <c r="K1742" s="592"/>
      <c r="M1742" s="639"/>
      <c r="N1742" s="639"/>
    </row>
    <row r="1743" spans="1:14">
      <c r="A1743" s="568"/>
      <c r="B1743" s="593"/>
      <c r="C1743" s="578" t="s">
        <v>1210</v>
      </c>
      <c r="D1743" s="578">
        <v>1</v>
      </c>
      <c r="E1743" s="579" t="s">
        <v>8</v>
      </c>
      <c r="F1743" s="569">
        <v>1</v>
      </c>
      <c r="G1743" s="590">
        <v>6.4</v>
      </c>
      <c r="H1743" s="591"/>
      <c r="I1743" s="591">
        <v>0.9</v>
      </c>
      <c r="J1743" s="591">
        <f t="shared" si="149"/>
        <v>5.7600000000000007</v>
      </c>
      <c r="K1743" s="592"/>
      <c r="M1743" s="639"/>
      <c r="N1743" s="639"/>
    </row>
    <row r="1744" spans="1:14">
      <c r="A1744" s="568"/>
      <c r="B1744" s="593"/>
      <c r="C1744" s="578" t="s">
        <v>1211</v>
      </c>
      <c r="D1744" s="578">
        <v>1</v>
      </c>
      <c r="E1744" s="579" t="s">
        <v>8</v>
      </c>
      <c r="F1744" s="569">
        <v>0</v>
      </c>
      <c r="G1744" s="590">
        <f>5.4+1.9</f>
        <v>7.3000000000000007</v>
      </c>
      <c r="H1744" s="591"/>
      <c r="I1744" s="591">
        <v>0.9</v>
      </c>
      <c r="J1744" s="591">
        <f t="shared" si="149"/>
        <v>0</v>
      </c>
      <c r="K1744" s="592"/>
      <c r="M1744" s="639"/>
      <c r="N1744" s="639"/>
    </row>
    <row r="1745" spans="1:14">
      <c r="A1745" s="568"/>
      <c r="B1745" s="593"/>
      <c r="C1745" s="578" t="s">
        <v>1168</v>
      </c>
      <c r="D1745" s="578">
        <v>1</v>
      </c>
      <c r="E1745" s="579" t="s">
        <v>8</v>
      </c>
      <c r="F1745" s="569">
        <v>1</v>
      </c>
      <c r="G1745" s="590">
        <f>5.4+1.9+1.6</f>
        <v>8.9</v>
      </c>
      <c r="H1745" s="591"/>
      <c r="I1745" s="591">
        <v>0.9</v>
      </c>
      <c r="J1745" s="591">
        <f t="shared" si="149"/>
        <v>8.01</v>
      </c>
      <c r="K1745" s="592"/>
      <c r="M1745" s="639"/>
      <c r="N1745" s="639"/>
    </row>
    <row r="1746" spans="1:14">
      <c r="A1746" s="568"/>
      <c r="B1746" s="593"/>
      <c r="C1746" s="578" t="s">
        <v>1212</v>
      </c>
      <c r="D1746" s="578">
        <v>1</v>
      </c>
      <c r="E1746" s="579" t="s">
        <v>8</v>
      </c>
      <c r="F1746" s="569">
        <v>1</v>
      </c>
      <c r="G1746" s="590">
        <f>3.8+3.8+3.8</f>
        <v>11.399999999999999</v>
      </c>
      <c r="H1746" s="591"/>
      <c r="I1746" s="591">
        <v>0.9</v>
      </c>
      <c r="J1746" s="591">
        <f t="shared" si="149"/>
        <v>10.26</v>
      </c>
      <c r="K1746" s="592"/>
      <c r="M1746" s="639"/>
      <c r="N1746" s="639"/>
    </row>
    <row r="1747" spans="1:14">
      <c r="A1747" s="568"/>
      <c r="B1747" s="593" t="s">
        <v>485</v>
      </c>
      <c r="C1747" s="578" t="s">
        <v>1213</v>
      </c>
      <c r="D1747" s="578">
        <v>1</v>
      </c>
      <c r="E1747" s="579" t="s">
        <v>8</v>
      </c>
      <c r="F1747" s="569">
        <v>1</v>
      </c>
      <c r="G1747" s="590">
        <v>6.4</v>
      </c>
      <c r="H1747" s="591"/>
      <c r="I1747" s="591">
        <v>0.9</v>
      </c>
      <c r="J1747" s="591">
        <f t="shared" si="149"/>
        <v>5.7600000000000007</v>
      </c>
      <c r="K1747" s="592"/>
      <c r="M1747" s="639"/>
      <c r="N1747" s="639"/>
    </row>
    <row r="1748" spans="1:14">
      <c r="A1748" s="568"/>
      <c r="B1748" s="593"/>
      <c r="C1748" s="578" t="s">
        <v>1214</v>
      </c>
      <c r="D1748" s="578">
        <v>1</v>
      </c>
      <c r="E1748" s="579" t="s">
        <v>8</v>
      </c>
      <c r="F1748" s="569">
        <v>1</v>
      </c>
      <c r="G1748" s="590">
        <v>2.6</v>
      </c>
      <c r="H1748" s="591"/>
      <c r="I1748" s="591">
        <v>0.9</v>
      </c>
      <c r="J1748" s="591">
        <f t="shared" si="149"/>
        <v>2.3400000000000003</v>
      </c>
      <c r="K1748" s="592"/>
      <c r="M1748" s="639"/>
      <c r="N1748" s="639"/>
    </row>
    <row r="1749" spans="1:14">
      <c r="A1749" s="568"/>
      <c r="B1749" s="593"/>
      <c r="C1749" s="578" t="s">
        <v>1215</v>
      </c>
      <c r="D1749" s="578">
        <v>1</v>
      </c>
      <c r="E1749" s="579" t="s">
        <v>8</v>
      </c>
      <c r="F1749" s="569">
        <v>1</v>
      </c>
      <c r="G1749" s="590">
        <v>0.9</v>
      </c>
      <c r="H1749" s="591"/>
      <c r="I1749" s="591">
        <v>0.9</v>
      </c>
      <c r="J1749" s="591">
        <f t="shared" si="149"/>
        <v>0.81</v>
      </c>
      <c r="K1749" s="592"/>
      <c r="M1749" s="639"/>
      <c r="N1749" s="639"/>
    </row>
    <row r="1750" spans="1:14">
      <c r="A1750" s="568"/>
      <c r="B1750" s="593"/>
      <c r="C1750" s="578" t="s">
        <v>1189</v>
      </c>
      <c r="D1750" s="578">
        <v>1</v>
      </c>
      <c r="E1750" s="579" t="s">
        <v>8</v>
      </c>
      <c r="F1750" s="569">
        <v>1</v>
      </c>
      <c r="G1750" s="590">
        <f>20-0.2*7</f>
        <v>18.600000000000001</v>
      </c>
      <c r="H1750" s="591"/>
      <c r="I1750" s="591">
        <v>0.9</v>
      </c>
      <c r="J1750" s="591">
        <f t="shared" si="149"/>
        <v>16.740000000000002</v>
      </c>
      <c r="K1750" s="592"/>
      <c r="M1750" s="639"/>
      <c r="N1750" s="639"/>
    </row>
    <row r="1751" spans="1:14">
      <c r="A1751" s="568"/>
      <c r="B1751" s="593"/>
      <c r="C1751" s="589"/>
      <c r="G1751" s="590"/>
      <c r="H1751" s="591"/>
      <c r="I1751" s="591"/>
      <c r="J1751" s="605">
        <f>SUM(J1726:J1750)</f>
        <v>227.46599999999998</v>
      </c>
      <c r="K1751" s="592"/>
      <c r="M1751" s="639"/>
      <c r="N1751" s="639"/>
    </row>
    <row r="1752" spans="1:14">
      <c r="A1752" s="568"/>
      <c r="B1752" s="572" t="s">
        <v>58</v>
      </c>
      <c r="C1752" s="589"/>
      <c r="G1752" s="590"/>
      <c r="H1752" s="591"/>
      <c r="I1752" s="591"/>
      <c r="J1752" s="605">
        <f>ROUNDUP(J1751,0)</f>
        <v>228</v>
      </c>
      <c r="K1752" s="592" t="s">
        <v>9</v>
      </c>
      <c r="M1752" s="639"/>
      <c r="N1752" s="639"/>
    </row>
    <row r="1753" spans="1:14">
      <c r="A1753" s="568"/>
      <c r="B1753" s="572"/>
      <c r="C1753" s="589"/>
      <c r="G1753" s="590"/>
      <c r="H1753" s="591"/>
      <c r="I1753" s="591"/>
      <c r="J1753" s="605"/>
      <c r="K1753" s="592"/>
      <c r="M1753" s="639"/>
      <c r="N1753" s="639"/>
    </row>
    <row r="1754" spans="1:14">
      <c r="A1754" s="568" t="s">
        <v>70</v>
      </c>
      <c r="B1754" s="576" t="str">
        <f>'BOQ-C&amp;I'!C64</f>
        <v>Solid block of size 400 x 100 x 200 mm</v>
      </c>
      <c r="C1754" s="589"/>
      <c r="G1754" s="590"/>
      <c r="H1754" s="591"/>
      <c r="I1754" s="591"/>
      <c r="J1754" s="605"/>
      <c r="K1754" s="592"/>
      <c r="M1754" s="639"/>
      <c r="N1754" s="639"/>
    </row>
    <row r="1755" spans="1:14">
      <c r="A1755" s="568"/>
      <c r="B1755" s="593" t="s">
        <v>506</v>
      </c>
      <c r="C1755" s="589"/>
      <c r="D1755" s="578">
        <v>1</v>
      </c>
      <c r="E1755" s="579" t="s">
        <v>8</v>
      </c>
      <c r="F1755" s="569">
        <v>1</v>
      </c>
      <c r="G1755" s="725">
        <v>10</v>
      </c>
      <c r="H1755" s="726"/>
      <c r="I1755" s="591"/>
      <c r="J1755" s="605">
        <f>PRODUCT(D1755:I1755)</f>
        <v>10</v>
      </c>
      <c r="K1755" s="592" t="s">
        <v>9</v>
      </c>
    </row>
    <row r="1756" spans="1:14" ht="80.25" customHeight="1">
      <c r="A1756" s="568">
        <f>A1722+1</f>
        <v>14</v>
      </c>
      <c r="B1756" s="712" t="s">
        <v>1645</v>
      </c>
      <c r="C1756" s="713"/>
      <c r="D1756" s="713"/>
      <c r="E1756" s="713"/>
      <c r="F1756" s="713"/>
      <c r="G1756" s="713"/>
      <c r="H1756" s="713"/>
      <c r="I1756" s="713"/>
      <c r="J1756" s="713"/>
      <c r="K1756" s="714"/>
    </row>
    <row r="1757" spans="1:14" ht="106.5" customHeight="1">
      <c r="A1757" s="568"/>
      <c r="B1757" s="712" t="s">
        <v>662</v>
      </c>
      <c r="C1757" s="713"/>
      <c r="D1757" s="713"/>
      <c r="E1757" s="713"/>
      <c r="F1757" s="713"/>
      <c r="G1757" s="713"/>
      <c r="H1757" s="713"/>
      <c r="I1757" s="713"/>
      <c r="J1757" s="713"/>
      <c r="K1757" s="714"/>
    </row>
    <row r="1758" spans="1:14" ht="113.25" customHeight="1">
      <c r="A1758" s="568"/>
      <c r="B1758" s="712" t="s">
        <v>663</v>
      </c>
      <c r="C1758" s="713"/>
      <c r="D1758" s="713"/>
      <c r="E1758" s="713"/>
      <c r="F1758" s="713"/>
      <c r="G1758" s="713"/>
      <c r="H1758" s="713"/>
      <c r="I1758" s="713"/>
      <c r="J1758" s="713"/>
      <c r="K1758" s="714"/>
    </row>
    <row r="1759" spans="1:14" ht="48" customHeight="1">
      <c r="A1759" s="568"/>
      <c r="B1759" s="712" t="s">
        <v>664</v>
      </c>
      <c r="C1759" s="713"/>
      <c r="D1759" s="713"/>
      <c r="E1759" s="713"/>
      <c r="F1759" s="713"/>
      <c r="G1759" s="713"/>
      <c r="H1759" s="713"/>
      <c r="I1759" s="713"/>
      <c r="J1759" s="713"/>
      <c r="K1759" s="714"/>
    </row>
    <row r="1760" spans="1:14" ht="59.25" customHeight="1">
      <c r="A1760" s="568"/>
      <c r="B1760" s="712" t="s">
        <v>665</v>
      </c>
      <c r="C1760" s="713"/>
      <c r="D1760" s="713"/>
      <c r="E1760" s="713"/>
      <c r="F1760" s="713"/>
      <c r="G1760" s="713"/>
      <c r="H1760" s="713"/>
      <c r="I1760" s="713"/>
      <c r="J1760" s="713"/>
      <c r="K1760" s="714"/>
    </row>
    <row r="1761" spans="1:11" ht="51" customHeight="1">
      <c r="A1761" s="568"/>
      <c r="B1761" s="712" t="s">
        <v>666</v>
      </c>
      <c r="C1761" s="713"/>
      <c r="D1761" s="713"/>
      <c r="E1761" s="713"/>
      <c r="F1761" s="713"/>
      <c r="G1761" s="713"/>
      <c r="H1761" s="713"/>
      <c r="I1761" s="713"/>
      <c r="J1761" s="713"/>
      <c r="K1761" s="714"/>
    </row>
    <row r="1762" spans="1:11" ht="36" customHeight="1">
      <c r="A1762" s="568" t="s">
        <v>63</v>
      </c>
      <c r="B1762" s="737" t="str">
        <f>'BOQ-C&amp;I'!C72</f>
        <v>For 600mm x 200mmx200mm thick AAC block wall - CM 1:5</v>
      </c>
      <c r="C1762" s="738"/>
      <c r="D1762" s="738"/>
      <c r="E1762" s="738"/>
      <c r="F1762" s="738"/>
      <c r="G1762" s="738"/>
      <c r="H1762" s="738"/>
      <c r="I1762" s="738"/>
      <c r="J1762" s="738"/>
      <c r="K1762" s="739"/>
    </row>
    <row r="1763" spans="1:11">
      <c r="A1763" s="568" t="s">
        <v>71</v>
      </c>
      <c r="B1763" s="584" t="s">
        <v>12</v>
      </c>
      <c r="C1763" s="577"/>
      <c r="G1763" s="612"/>
      <c r="H1763" s="598"/>
      <c r="I1763" s="598"/>
      <c r="J1763" s="598"/>
      <c r="K1763" s="581"/>
    </row>
    <row r="1764" spans="1:11">
      <c r="A1764" s="568"/>
      <c r="B1764" s="584" t="s">
        <v>50</v>
      </c>
      <c r="C1764" s="589"/>
      <c r="G1764" s="590"/>
      <c r="H1764" s="591"/>
      <c r="I1764" s="591"/>
      <c r="J1764" s="591"/>
      <c r="K1764" s="592"/>
    </row>
    <row r="1765" spans="1:11">
      <c r="A1765" s="568"/>
      <c r="B1765" s="593" t="s">
        <v>1022</v>
      </c>
      <c r="C1765" s="655" t="s">
        <v>1203</v>
      </c>
      <c r="D1765" s="578">
        <v>1</v>
      </c>
      <c r="E1765" s="579" t="s">
        <v>8</v>
      </c>
      <c r="F1765" s="569">
        <v>1</v>
      </c>
      <c r="G1765" s="590">
        <f>32.92-8*0.2</f>
        <v>31.32</v>
      </c>
      <c r="H1765" s="591"/>
      <c r="I1765" s="591">
        <f>4-0.45</f>
        <v>3.55</v>
      </c>
      <c r="J1765" s="591">
        <f>PRODUCT(D1765:I1765)</f>
        <v>111.18599999999999</v>
      </c>
      <c r="K1765" s="592"/>
    </row>
    <row r="1766" spans="1:11">
      <c r="A1766" s="568"/>
      <c r="B1766" s="593"/>
      <c r="C1766" s="655"/>
      <c r="D1766" s="578">
        <v>1</v>
      </c>
      <c r="E1766" s="579" t="s">
        <v>8</v>
      </c>
      <c r="F1766" s="569">
        <v>1</v>
      </c>
      <c r="G1766" s="590">
        <v>1.425</v>
      </c>
      <c r="H1766" s="591"/>
      <c r="I1766" s="591">
        <f t="shared" ref="I1766:I1775" si="150">4-0.45</f>
        <v>3.55</v>
      </c>
      <c r="J1766" s="591">
        <f t="shared" ref="J1766:J1775" si="151">PRODUCT(D1766:I1766)</f>
        <v>5.0587499999999999</v>
      </c>
      <c r="K1766" s="592"/>
    </row>
    <row r="1767" spans="1:11">
      <c r="A1767" s="568"/>
      <c r="B1767" s="593"/>
      <c r="C1767" s="655" t="s">
        <v>1030</v>
      </c>
      <c r="D1767" s="578">
        <v>1</v>
      </c>
      <c r="E1767" s="579" t="s">
        <v>8</v>
      </c>
      <c r="F1767" s="569">
        <v>1</v>
      </c>
      <c r="G1767" s="590">
        <v>5.07</v>
      </c>
      <c r="H1767" s="591"/>
      <c r="I1767" s="591">
        <f t="shared" si="150"/>
        <v>3.55</v>
      </c>
      <c r="J1767" s="591">
        <f t="shared" si="151"/>
        <v>17.9985</v>
      </c>
      <c r="K1767" s="592"/>
    </row>
    <row r="1768" spans="1:11">
      <c r="A1768" s="568"/>
      <c r="B1768" s="593"/>
      <c r="C1768" s="655" t="s">
        <v>577</v>
      </c>
      <c r="D1768" s="578">
        <v>1</v>
      </c>
      <c r="E1768" s="579" t="s">
        <v>8</v>
      </c>
      <c r="F1768" s="569">
        <v>1</v>
      </c>
      <c r="G1768" s="590">
        <f>0.9+1.2+3.8+3.8+7.8+3.8</f>
        <v>21.3</v>
      </c>
      <c r="H1768" s="591"/>
      <c r="I1768" s="591">
        <f t="shared" si="150"/>
        <v>3.55</v>
      </c>
      <c r="J1768" s="591">
        <f t="shared" si="151"/>
        <v>75.614999999999995</v>
      </c>
      <c r="K1768" s="592"/>
    </row>
    <row r="1769" spans="1:11">
      <c r="A1769" s="568"/>
      <c r="B1769" s="593"/>
      <c r="C1769" s="655" t="s">
        <v>574</v>
      </c>
      <c r="D1769" s="578">
        <v>1</v>
      </c>
      <c r="E1769" s="579" t="s">
        <v>8</v>
      </c>
      <c r="F1769" s="569">
        <v>1</v>
      </c>
      <c r="G1769" s="590">
        <f>1.5+9.27-0.8+4.1+2.5</f>
        <v>16.57</v>
      </c>
      <c r="H1769" s="591"/>
      <c r="I1769" s="591">
        <f t="shared" si="150"/>
        <v>3.55</v>
      </c>
      <c r="J1769" s="591">
        <f t="shared" si="151"/>
        <v>58.823499999999996</v>
      </c>
      <c r="K1769" s="592"/>
    </row>
    <row r="1770" spans="1:11">
      <c r="A1770" s="568"/>
      <c r="B1770" s="593" t="s">
        <v>1204</v>
      </c>
      <c r="C1770" s="655" t="s">
        <v>572</v>
      </c>
      <c r="D1770" s="578">
        <v>1</v>
      </c>
      <c r="E1770" s="579" t="s">
        <v>8</v>
      </c>
      <c r="F1770" s="569">
        <v>1</v>
      </c>
      <c r="G1770" s="590">
        <v>4.9000000000000004</v>
      </c>
      <c r="H1770" s="591"/>
      <c r="I1770" s="591">
        <f t="shared" si="150"/>
        <v>3.55</v>
      </c>
      <c r="J1770" s="591">
        <f t="shared" si="151"/>
        <v>17.395</v>
      </c>
      <c r="K1770" s="592"/>
    </row>
    <row r="1771" spans="1:11">
      <c r="A1771" s="568"/>
      <c r="B1771" s="593"/>
      <c r="C1771" s="655" t="s">
        <v>491</v>
      </c>
      <c r="D1771" s="578">
        <v>1</v>
      </c>
      <c r="E1771" s="579" t="s">
        <v>8</v>
      </c>
      <c r="F1771" s="569">
        <v>1</v>
      </c>
      <c r="G1771" s="590">
        <f>4.1+0.1+2.2+0.9</f>
        <v>7.3</v>
      </c>
      <c r="H1771" s="591"/>
      <c r="I1771" s="591">
        <f t="shared" si="150"/>
        <v>3.55</v>
      </c>
      <c r="J1771" s="591">
        <f t="shared" si="151"/>
        <v>25.914999999999999</v>
      </c>
      <c r="K1771" s="592"/>
    </row>
    <row r="1772" spans="1:11">
      <c r="A1772" s="568"/>
      <c r="B1772" s="593"/>
      <c r="C1772" s="655" t="s">
        <v>547</v>
      </c>
      <c r="D1772" s="578">
        <v>1</v>
      </c>
      <c r="E1772" s="579" t="s">
        <v>8</v>
      </c>
      <c r="F1772" s="569">
        <v>1</v>
      </c>
      <c r="G1772" s="590">
        <f>2.5+3.3</f>
        <v>5.8</v>
      </c>
      <c r="H1772" s="591"/>
      <c r="I1772" s="591">
        <f t="shared" si="150"/>
        <v>3.55</v>
      </c>
      <c r="J1772" s="591">
        <f t="shared" si="151"/>
        <v>20.59</v>
      </c>
      <c r="K1772" s="592"/>
    </row>
    <row r="1773" spans="1:11">
      <c r="A1773" s="568"/>
      <c r="B1773" s="593" t="s">
        <v>1205</v>
      </c>
      <c r="C1773" s="655" t="s">
        <v>548</v>
      </c>
      <c r="D1773" s="578">
        <v>1</v>
      </c>
      <c r="E1773" s="579" t="s">
        <v>8</v>
      </c>
      <c r="F1773" s="569">
        <v>1</v>
      </c>
      <c r="G1773" s="590">
        <f>0.9+0.1+2.5+2.47+4.8+2+3.3+4.1</f>
        <v>20.170000000000002</v>
      </c>
      <c r="H1773" s="591"/>
      <c r="I1773" s="591">
        <f t="shared" si="150"/>
        <v>3.55</v>
      </c>
      <c r="J1773" s="591">
        <f t="shared" si="151"/>
        <v>71.603499999999997</v>
      </c>
      <c r="K1773" s="592"/>
    </row>
    <row r="1774" spans="1:11">
      <c r="A1774" s="568"/>
      <c r="B1774" s="593" t="s">
        <v>1206</v>
      </c>
      <c r="C1774" s="655" t="s">
        <v>489</v>
      </c>
      <c r="D1774" s="578">
        <v>1</v>
      </c>
      <c r="E1774" s="579" t="s">
        <v>8</v>
      </c>
      <c r="F1774" s="569">
        <v>1</v>
      </c>
      <c r="G1774" s="590">
        <f>1.5+1.8+5.4+3.5+0.5+1.5+1+1.5+0.7</f>
        <v>17.399999999999999</v>
      </c>
      <c r="H1774" s="591"/>
      <c r="I1774" s="591">
        <f t="shared" si="150"/>
        <v>3.55</v>
      </c>
      <c r="J1774" s="591">
        <f t="shared" si="151"/>
        <v>61.769999999999989</v>
      </c>
      <c r="K1774" s="592"/>
    </row>
    <row r="1775" spans="1:11">
      <c r="A1775" s="568"/>
      <c r="B1775" s="593" t="s">
        <v>1207</v>
      </c>
      <c r="C1775" s="655" t="s">
        <v>583</v>
      </c>
      <c r="D1775" s="578">
        <v>1</v>
      </c>
      <c r="E1775" s="579" t="s">
        <v>8</v>
      </c>
      <c r="F1775" s="569">
        <v>1</v>
      </c>
      <c r="G1775" s="590">
        <f>5.1+0.9+1.7+1.5+4.8+1.5</f>
        <v>15.5</v>
      </c>
      <c r="H1775" s="591"/>
      <c r="I1775" s="591">
        <f t="shared" si="150"/>
        <v>3.55</v>
      </c>
      <c r="J1775" s="591">
        <f t="shared" si="151"/>
        <v>55.024999999999999</v>
      </c>
      <c r="K1775" s="592"/>
    </row>
    <row r="1776" spans="1:11">
      <c r="A1776" s="568"/>
      <c r="B1776" s="584" t="s">
        <v>488</v>
      </c>
      <c r="C1776" s="655"/>
      <c r="G1776" s="590"/>
      <c r="H1776" s="591"/>
      <c r="I1776" s="591"/>
      <c r="J1776" s="591"/>
      <c r="K1776" s="592"/>
    </row>
    <row r="1777" spans="1:11">
      <c r="A1777" s="568"/>
      <c r="B1777" s="593" t="s">
        <v>549</v>
      </c>
      <c r="C1777" s="655" t="s">
        <v>1208</v>
      </c>
      <c r="D1777" s="578">
        <v>1</v>
      </c>
      <c r="E1777" s="579" t="s">
        <v>8</v>
      </c>
      <c r="F1777" s="569">
        <v>1</v>
      </c>
      <c r="G1777" s="590">
        <f>20-0.2*6</f>
        <v>18.8</v>
      </c>
      <c r="H1777" s="591"/>
      <c r="I1777" s="591">
        <f t="shared" ref="I1777:I1789" si="152">4-0.45</f>
        <v>3.55</v>
      </c>
      <c r="J1777" s="591">
        <f t="shared" ref="J1777:J1789" si="153">PRODUCT(D1777:I1777)</f>
        <v>66.739999999999995</v>
      </c>
      <c r="K1777" s="592"/>
    </row>
    <row r="1778" spans="1:11">
      <c r="A1778" s="568"/>
      <c r="B1778" s="593" t="s">
        <v>1209</v>
      </c>
      <c r="C1778" s="655"/>
      <c r="D1778" s="578">
        <v>1</v>
      </c>
      <c r="E1778" s="579" t="s">
        <v>8</v>
      </c>
      <c r="F1778" s="569">
        <v>1</v>
      </c>
      <c r="G1778" s="590">
        <f>1.6+0.2+9.7+0.1</f>
        <v>11.6</v>
      </c>
      <c r="H1778" s="591"/>
      <c r="I1778" s="591">
        <f t="shared" si="152"/>
        <v>3.55</v>
      </c>
      <c r="J1778" s="591">
        <f t="shared" si="153"/>
        <v>41.18</v>
      </c>
      <c r="K1778" s="592"/>
    </row>
    <row r="1779" spans="1:11">
      <c r="A1779" s="568"/>
      <c r="B1779" s="593"/>
      <c r="C1779" s="655" t="s">
        <v>486</v>
      </c>
      <c r="D1779" s="578">
        <v>1</v>
      </c>
      <c r="E1779" s="579" t="s">
        <v>8</v>
      </c>
      <c r="F1779" s="569">
        <v>1</v>
      </c>
      <c r="G1779" s="590">
        <f>6.4+5.2+1.9+1.8</f>
        <v>15.300000000000002</v>
      </c>
      <c r="H1779" s="591"/>
      <c r="I1779" s="591">
        <f t="shared" si="152"/>
        <v>3.55</v>
      </c>
      <c r="J1779" s="591">
        <f t="shared" si="153"/>
        <v>54.315000000000005</v>
      </c>
      <c r="K1779" s="592"/>
    </row>
    <row r="1780" spans="1:11">
      <c r="A1780" s="568"/>
      <c r="B1780" s="593"/>
      <c r="C1780" s="655" t="s">
        <v>1064</v>
      </c>
      <c r="D1780" s="578">
        <v>1</v>
      </c>
      <c r="E1780" s="579" t="s">
        <v>8</v>
      </c>
      <c r="F1780" s="569">
        <v>1</v>
      </c>
      <c r="G1780" s="590">
        <f>6.4+5.2+1.9</f>
        <v>13.500000000000002</v>
      </c>
      <c r="H1780" s="591"/>
      <c r="I1780" s="591">
        <f t="shared" si="152"/>
        <v>3.55</v>
      </c>
      <c r="J1780" s="591">
        <f t="shared" si="153"/>
        <v>47.925000000000004</v>
      </c>
      <c r="K1780" s="592"/>
    </row>
    <row r="1781" spans="1:11">
      <c r="A1781" s="568"/>
      <c r="B1781" s="593" t="s">
        <v>484</v>
      </c>
      <c r="C1781" s="655" t="s">
        <v>1070</v>
      </c>
      <c r="D1781" s="578">
        <v>1</v>
      </c>
      <c r="E1781" s="579" t="s">
        <v>8</v>
      </c>
      <c r="F1781" s="569">
        <v>1</v>
      </c>
      <c r="G1781" s="590">
        <v>6.4</v>
      </c>
      <c r="H1781" s="591"/>
      <c r="I1781" s="591">
        <f t="shared" si="152"/>
        <v>3.55</v>
      </c>
      <c r="J1781" s="591">
        <f t="shared" si="153"/>
        <v>22.72</v>
      </c>
      <c r="K1781" s="592"/>
    </row>
    <row r="1782" spans="1:11">
      <c r="A1782" s="568"/>
      <c r="B1782" s="593"/>
      <c r="C1782" s="655" t="s">
        <v>1210</v>
      </c>
      <c r="D1782" s="578">
        <v>1</v>
      </c>
      <c r="E1782" s="579" t="s">
        <v>8</v>
      </c>
      <c r="F1782" s="569">
        <v>1</v>
      </c>
      <c r="G1782" s="590">
        <v>6.4</v>
      </c>
      <c r="H1782" s="591"/>
      <c r="I1782" s="591">
        <f t="shared" si="152"/>
        <v>3.55</v>
      </c>
      <c r="J1782" s="591">
        <f t="shared" si="153"/>
        <v>22.72</v>
      </c>
      <c r="K1782" s="592"/>
    </row>
    <row r="1783" spans="1:11">
      <c r="A1783" s="568"/>
      <c r="B1783" s="593"/>
      <c r="C1783" s="655" t="s">
        <v>1211</v>
      </c>
      <c r="D1783" s="578">
        <v>1</v>
      </c>
      <c r="E1783" s="579" t="s">
        <v>8</v>
      </c>
      <c r="F1783" s="569">
        <v>1</v>
      </c>
      <c r="G1783" s="590">
        <f>5.4+1.9</f>
        <v>7.3000000000000007</v>
      </c>
      <c r="H1783" s="591"/>
      <c r="I1783" s="591">
        <f t="shared" si="152"/>
        <v>3.55</v>
      </c>
      <c r="J1783" s="591">
        <f t="shared" si="153"/>
        <v>25.915000000000003</v>
      </c>
      <c r="K1783" s="592"/>
    </row>
    <row r="1784" spans="1:11">
      <c r="A1784" s="568"/>
      <c r="B1784" s="593"/>
      <c r="C1784" s="655" t="s">
        <v>1168</v>
      </c>
      <c r="D1784" s="578">
        <v>1</v>
      </c>
      <c r="E1784" s="579" t="s">
        <v>8</v>
      </c>
      <c r="F1784" s="569">
        <v>1</v>
      </c>
      <c r="G1784" s="590">
        <f>5.4+1.9+1.6</f>
        <v>8.9</v>
      </c>
      <c r="H1784" s="591"/>
      <c r="I1784" s="591">
        <f t="shared" si="152"/>
        <v>3.55</v>
      </c>
      <c r="J1784" s="591">
        <f t="shared" si="153"/>
        <v>31.594999999999999</v>
      </c>
      <c r="K1784" s="592"/>
    </row>
    <row r="1785" spans="1:11">
      <c r="A1785" s="568"/>
      <c r="B1785" s="593"/>
      <c r="C1785" s="655" t="s">
        <v>1212</v>
      </c>
      <c r="D1785" s="578">
        <v>1</v>
      </c>
      <c r="E1785" s="579" t="s">
        <v>8</v>
      </c>
      <c r="F1785" s="569">
        <v>1</v>
      </c>
      <c r="G1785" s="590">
        <f>3.8+3.8+3.8</f>
        <v>11.399999999999999</v>
      </c>
      <c r="H1785" s="591"/>
      <c r="I1785" s="591">
        <f t="shared" si="152"/>
        <v>3.55</v>
      </c>
      <c r="J1785" s="591">
        <f t="shared" si="153"/>
        <v>40.469999999999992</v>
      </c>
      <c r="K1785" s="592"/>
    </row>
    <row r="1786" spans="1:11">
      <c r="A1786" s="568"/>
      <c r="B1786" s="593" t="s">
        <v>485</v>
      </c>
      <c r="C1786" s="655" t="s">
        <v>1213</v>
      </c>
      <c r="D1786" s="578">
        <v>1</v>
      </c>
      <c r="E1786" s="579" t="s">
        <v>8</v>
      </c>
      <c r="F1786" s="569">
        <v>1</v>
      </c>
      <c r="G1786" s="590">
        <v>6.4</v>
      </c>
      <c r="H1786" s="591"/>
      <c r="I1786" s="591">
        <f t="shared" si="152"/>
        <v>3.55</v>
      </c>
      <c r="J1786" s="591">
        <f t="shared" si="153"/>
        <v>22.72</v>
      </c>
      <c r="K1786" s="592"/>
    </row>
    <row r="1787" spans="1:11" ht="36">
      <c r="A1787" s="568"/>
      <c r="B1787" s="593"/>
      <c r="C1787" s="655" t="s">
        <v>1214</v>
      </c>
      <c r="D1787" s="578">
        <v>1</v>
      </c>
      <c r="E1787" s="579" t="s">
        <v>8</v>
      </c>
      <c r="F1787" s="569">
        <v>1</v>
      </c>
      <c r="G1787" s="590">
        <v>2.6</v>
      </c>
      <c r="H1787" s="591"/>
      <c r="I1787" s="591">
        <f t="shared" si="152"/>
        <v>3.55</v>
      </c>
      <c r="J1787" s="591">
        <f t="shared" si="153"/>
        <v>9.23</v>
      </c>
      <c r="K1787" s="592"/>
    </row>
    <row r="1788" spans="1:11">
      <c r="A1788" s="568"/>
      <c r="B1788" s="593"/>
      <c r="C1788" s="655" t="s">
        <v>1215</v>
      </c>
      <c r="D1788" s="578">
        <v>1</v>
      </c>
      <c r="E1788" s="579" t="s">
        <v>8</v>
      </c>
      <c r="F1788" s="569">
        <v>1</v>
      </c>
      <c r="G1788" s="590">
        <v>0.9</v>
      </c>
      <c r="H1788" s="591"/>
      <c r="I1788" s="591">
        <f t="shared" si="152"/>
        <v>3.55</v>
      </c>
      <c r="J1788" s="591">
        <f t="shared" si="153"/>
        <v>3.1949999999999998</v>
      </c>
      <c r="K1788" s="592"/>
    </row>
    <row r="1789" spans="1:11">
      <c r="A1789" s="568"/>
      <c r="B1789" s="593"/>
      <c r="C1789" s="655" t="s">
        <v>1189</v>
      </c>
      <c r="D1789" s="578">
        <v>1</v>
      </c>
      <c r="E1789" s="579" t="s">
        <v>8</v>
      </c>
      <c r="F1789" s="569">
        <v>1</v>
      </c>
      <c r="G1789" s="590">
        <f>20-0.2*7</f>
        <v>18.600000000000001</v>
      </c>
      <c r="H1789" s="591"/>
      <c r="I1789" s="591">
        <f t="shared" si="152"/>
        <v>3.55</v>
      </c>
      <c r="J1789" s="591">
        <f t="shared" si="153"/>
        <v>66.03</v>
      </c>
      <c r="K1789" s="592"/>
    </row>
    <row r="1790" spans="1:11">
      <c r="A1790" s="568"/>
      <c r="B1790" s="593" t="s">
        <v>1668</v>
      </c>
      <c r="C1790" s="655"/>
      <c r="G1790" s="590"/>
      <c r="H1790" s="591"/>
      <c r="I1790" s="591"/>
      <c r="J1790" s="591"/>
      <c r="K1790" s="592"/>
    </row>
    <row r="1791" spans="1:11">
      <c r="A1791" s="568"/>
      <c r="B1791" s="593" t="s">
        <v>48</v>
      </c>
      <c r="C1791" s="577"/>
      <c r="D1791" s="578">
        <v>1</v>
      </c>
      <c r="E1791" s="579" t="s">
        <v>8</v>
      </c>
      <c r="F1791" s="569">
        <v>6</v>
      </c>
      <c r="G1791" s="612">
        <v>1.5</v>
      </c>
      <c r="H1791" s="598"/>
      <c r="I1791" s="598">
        <v>1.9</v>
      </c>
      <c r="J1791" s="598">
        <f t="shared" ref="J1791" si="154">ROUNDUP(PRODUCT(D1791:I1791),2)</f>
        <v>17.100000000000001</v>
      </c>
      <c r="K1791" s="576"/>
    </row>
    <row r="1792" spans="1:11">
      <c r="A1792" s="568"/>
      <c r="B1792" s="593"/>
      <c r="C1792" s="577"/>
      <c r="G1792" s="612"/>
      <c r="H1792" s="598"/>
      <c r="I1792" s="598"/>
      <c r="J1792" s="598"/>
      <c r="K1792" s="576"/>
    </row>
    <row r="1793" spans="1:11">
      <c r="A1793" s="568"/>
      <c r="B1793" s="593" t="s">
        <v>1670</v>
      </c>
      <c r="C1793" s="577"/>
      <c r="D1793" s="578">
        <v>1</v>
      </c>
      <c r="E1793" s="579" t="s">
        <v>8</v>
      </c>
      <c r="F1793" s="569">
        <v>1</v>
      </c>
      <c r="G1793" s="612">
        <v>1.3</v>
      </c>
      <c r="H1793" s="598"/>
      <c r="I1793" s="598">
        <v>3.55</v>
      </c>
      <c r="J1793" s="598">
        <f>ROUNDUP(PRODUCT(D1793:I1793),2)</f>
        <v>4.62</v>
      </c>
      <c r="K1793" s="581"/>
    </row>
    <row r="1794" spans="1:11">
      <c r="A1794" s="568"/>
      <c r="B1794" s="593" t="s">
        <v>1672</v>
      </c>
      <c r="C1794" s="577"/>
      <c r="D1794" s="578">
        <v>1</v>
      </c>
      <c r="E1794" s="579" t="s">
        <v>8</v>
      </c>
      <c r="F1794" s="569">
        <v>1</v>
      </c>
      <c r="G1794" s="612">
        <v>2.8</v>
      </c>
      <c r="H1794" s="598"/>
      <c r="I1794" s="598">
        <v>3.55</v>
      </c>
      <c r="J1794" s="598">
        <f>ROUNDUP(PRODUCT(D1794:I1794),2)</f>
        <v>9.94</v>
      </c>
      <c r="K1794" s="581"/>
    </row>
    <row r="1795" spans="1:11">
      <c r="A1795" s="568"/>
      <c r="B1795" s="593" t="s">
        <v>1334</v>
      </c>
      <c r="C1795" s="599"/>
      <c r="D1795" s="578">
        <v>2</v>
      </c>
      <c r="E1795" s="579" t="s">
        <v>8</v>
      </c>
      <c r="F1795" s="569">
        <v>1</v>
      </c>
      <c r="G1795" s="618">
        <f>0.2+2.5+0.2+2+0.2+1.13+1.94+0.63</f>
        <v>8.8000000000000007</v>
      </c>
      <c r="H1795" s="618"/>
      <c r="I1795" s="618">
        <v>2.85</v>
      </c>
      <c r="J1795" s="597">
        <f>PRODUCT(D1795:I1795)</f>
        <v>50.160000000000004</v>
      </c>
      <c r="K1795" s="592"/>
    </row>
    <row r="1796" spans="1:11">
      <c r="A1796" s="568"/>
      <c r="B1796" s="593" t="s">
        <v>13</v>
      </c>
      <c r="C1796" s="599"/>
      <c r="D1796" s="578">
        <v>1</v>
      </c>
      <c r="E1796" s="579" t="s">
        <v>8</v>
      </c>
      <c r="F1796" s="569">
        <v>1</v>
      </c>
      <c r="G1796" s="618">
        <f>0.2+2+0.2+1.2+0.2+0.2+1.2</f>
        <v>5.2000000000000011</v>
      </c>
      <c r="H1796" s="618"/>
      <c r="I1796" s="618">
        <v>2.85</v>
      </c>
      <c r="J1796" s="597">
        <f>PRODUCT(D1796:I1796)</f>
        <v>14.820000000000004</v>
      </c>
      <c r="K1796" s="592"/>
    </row>
    <row r="1797" spans="1:11">
      <c r="A1797" s="568"/>
      <c r="B1797" s="593" t="s">
        <v>1379</v>
      </c>
      <c r="C1797" s="599"/>
      <c r="D1797" s="578">
        <v>2</v>
      </c>
      <c r="E1797" s="579" t="s">
        <v>8</v>
      </c>
      <c r="F1797" s="569">
        <v>1</v>
      </c>
      <c r="G1797" s="618">
        <v>12.08</v>
      </c>
      <c r="H1797" s="618"/>
      <c r="I1797" s="618">
        <v>0.3</v>
      </c>
      <c r="J1797" s="597">
        <f>PRODUCT(D1797:I1797)</f>
        <v>7.2479999999999993</v>
      </c>
      <c r="K1797" s="592"/>
    </row>
    <row r="1798" spans="1:11">
      <c r="A1798" s="568"/>
      <c r="B1798" s="593" t="s">
        <v>17</v>
      </c>
      <c r="C1798" s="599"/>
      <c r="G1798" s="618"/>
      <c r="H1798" s="618"/>
      <c r="I1798" s="618"/>
      <c r="J1798" s="605"/>
      <c r="K1798" s="592"/>
    </row>
    <row r="1799" spans="1:11">
      <c r="A1799" s="568"/>
      <c r="B1799" s="593" t="s">
        <v>587</v>
      </c>
      <c r="C1799" s="599"/>
      <c r="D1799" s="578">
        <f>-2</f>
        <v>-2</v>
      </c>
      <c r="E1799" s="579" t="s">
        <v>8</v>
      </c>
      <c r="F1799" s="569">
        <v>1</v>
      </c>
      <c r="G1799" s="618">
        <v>1.2</v>
      </c>
      <c r="H1799" s="618"/>
      <c r="I1799" s="618">
        <v>1.2</v>
      </c>
      <c r="J1799" s="597">
        <f t="shared" ref="J1799:J1801" si="155">PRODUCT(D1799:I1799)</f>
        <v>-2.88</v>
      </c>
      <c r="K1799" s="592"/>
    </row>
    <row r="1800" spans="1:11">
      <c r="A1800" s="568"/>
      <c r="B1800" s="656" t="s">
        <v>903</v>
      </c>
      <c r="C1800" s="599"/>
      <c r="D1800" s="578">
        <f t="shared" ref="D1800:D1801" si="156">-2</f>
        <v>-2</v>
      </c>
      <c r="E1800" s="579" t="s">
        <v>8</v>
      </c>
      <c r="F1800" s="569">
        <v>1</v>
      </c>
      <c r="G1800" s="618">
        <v>0.75</v>
      </c>
      <c r="H1800" s="618"/>
      <c r="I1800" s="618">
        <v>2.1</v>
      </c>
      <c r="J1800" s="597">
        <f t="shared" si="155"/>
        <v>-3.1500000000000004</v>
      </c>
      <c r="K1800" s="592"/>
    </row>
    <row r="1801" spans="1:11">
      <c r="A1801" s="568"/>
      <c r="B1801" s="593" t="s">
        <v>580</v>
      </c>
      <c r="C1801" s="599"/>
      <c r="D1801" s="578">
        <f t="shared" si="156"/>
        <v>-2</v>
      </c>
      <c r="E1801" s="579" t="s">
        <v>8</v>
      </c>
      <c r="F1801" s="569">
        <v>1</v>
      </c>
      <c r="G1801" s="618">
        <v>0.6</v>
      </c>
      <c r="H1801" s="618"/>
      <c r="I1801" s="618">
        <v>0.75</v>
      </c>
      <c r="J1801" s="597">
        <f t="shared" si="155"/>
        <v>-0.89999999999999991</v>
      </c>
      <c r="K1801" s="592"/>
    </row>
    <row r="1802" spans="1:11">
      <c r="A1802" s="568"/>
      <c r="B1802" s="584" t="s">
        <v>17</v>
      </c>
      <c r="C1802" s="589"/>
      <c r="G1802" s="612"/>
      <c r="H1802" s="591"/>
      <c r="I1802" s="598"/>
      <c r="J1802" s="598"/>
      <c r="K1802" s="592"/>
    </row>
    <row r="1803" spans="1:11">
      <c r="A1803" s="568"/>
      <c r="B1803" s="593" t="s">
        <v>590</v>
      </c>
      <c r="C1803" s="589"/>
      <c r="D1803" s="578">
        <v>1</v>
      </c>
      <c r="E1803" s="579" t="s">
        <v>8</v>
      </c>
      <c r="F1803" s="569">
        <v>-1</v>
      </c>
      <c r="G1803" s="612">
        <v>1.8</v>
      </c>
      <c r="H1803" s="591"/>
      <c r="I1803" s="598">
        <v>2.1</v>
      </c>
      <c r="J1803" s="598">
        <f t="shared" ref="J1803:J1813" si="157">ROUNDUP(PRODUCT(D1803:I1803),2)</f>
        <v>-3.78</v>
      </c>
      <c r="K1803" s="592"/>
    </row>
    <row r="1804" spans="1:11">
      <c r="A1804" s="568"/>
      <c r="B1804" s="593" t="s">
        <v>19</v>
      </c>
      <c r="C1804" s="589"/>
      <c r="D1804" s="578">
        <v>1</v>
      </c>
      <c r="E1804" s="579" t="s">
        <v>8</v>
      </c>
      <c r="F1804" s="569">
        <v>-2</v>
      </c>
      <c r="G1804" s="612">
        <v>1.2</v>
      </c>
      <c r="H1804" s="591"/>
      <c r="I1804" s="598">
        <v>2.1</v>
      </c>
      <c r="J1804" s="598">
        <f t="shared" si="157"/>
        <v>-5.04</v>
      </c>
      <c r="K1804" s="592"/>
    </row>
    <row r="1805" spans="1:11">
      <c r="A1805" s="568"/>
      <c r="B1805" s="593" t="s">
        <v>29</v>
      </c>
      <c r="C1805" s="589"/>
      <c r="D1805" s="578">
        <v>1</v>
      </c>
      <c r="E1805" s="579" t="s">
        <v>8</v>
      </c>
      <c r="F1805" s="569">
        <v>-2</v>
      </c>
      <c r="G1805" s="612">
        <v>1</v>
      </c>
      <c r="H1805" s="591"/>
      <c r="I1805" s="598">
        <v>2.1</v>
      </c>
      <c r="J1805" s="598">
        <f t="shared" si="157"/>
        <v>-4.2</v>
      </c>
      <c r="K1805" s="592"/>
    </row>
    <row r="1806" spans="1:11">
      <c r="A1806" s="568"/>
      <c r="B1806" s="593" t="s">
        <v>585</v>
      </c>
      <c r="C1806" s="589"/>
      <c r="D1806" s="578">
        <v>1</v>
      </c>
      <c r="E1806" s="579" t="s">
        <v>8</v>
      </c>
      <c r="F1806" s="569">
        <v>-3</v>
      </c>
      <c r="G1806" s="612">
        <v>0.9</v>
      </c>
      <c r="H1806" s="591"/>
      <c r="I1806" s="598">
        <v>2.1</v>
      </c>
      <c r="J1806" s="598">
        <f t="shared" si="157"/>
        <v>-5.67</v>
      </c>
      <c r="K1806" s="592"/>
    </row>
    <row r="1807" spans="1:11">
      <c r="A1807" s="568"/>
      <c r="B1807" s="593" t="s">
        <v>1216</v>
      </c>
      <c r="C1807" s="589"/>
      <c r="D1807" s="578">
        <v>1</v>
      </c>
      <c r="E1807" s="579" t="s">
        <v>8</v>
      </c>
      <c r="F1807" s="569">
        <v>-1</v>
      </c>
      <c r="G1807" s="612">
        <v>1</v>
      </c>
      <c r="H1807" s="591"/>
      <c r="I1807" s="598">
        <v>2.1</v>
      </c>
      <c r="J1807" s="598">
        <f t="shared" si="157"/>
        <v>-2.1</v>
      </c>
      <c r="K1807" s="592"/>
    </row>
    <row r="1808" spans="1:11">
      <c r="A1808" s="568"/>
      <c r="B1808" s="593" t="s">
        <v>579</v>
      </c>
      <c r="C1808" s="589"/>
      <c r="D1808" s="578">
        <v>1</v>
      </c>
      <c r="E1808" s="579" t="s">
        <v>8</v>
      </c>
      <c r="F1808" s="569">
        <v>-11</v>
      </c>
      <c r="G1808" s="612">
        <v>1.5</v>
      </c>
      <c r="H1808" s="591"/>
      <c r="I1808" s="598">
        <v>1.2</v>
      </c>
      <c r="J1808" s="598">
        <f t="shared" si="157"/>
        <v>-19.8</v>
      </c>
      <c r="K1808" s="592"/>
    </row>
    <row r="1809" spans="1:11">
      <c r="A1809" s="568"/>
      <c r="B1809" s="593" t="s">
        <v>586</v>
      </c>
      <c r="C1809" s="589"/>
      <c r="D1809" s="578">
        <v>1</v>
      </c>
      <c r="E1809" s="579" t="s">
        <v>8</v>
      </c>
      <c r="F1809" s="569">
        <v>-2</v>
      </c>
      <c r="G1809" s="612">
        <v>2.15</v>
      </c>
      <c r="H1809" s="591"/>
      <c r="I1809" s="598">
        <v>1.2</v>
      </c>
      <c r="J1809" s="598">
        <f t="shared" si="157"/>
        <v>-5.16</v>
      </c>
      <c r="K1809" s="592"/>
    </row>
    <row r="1810" spans="1:11">
      <c r="A1810" s="568"/>
      <c r="B1810" s="593" t="s">
        <v>1191</v>
      </c>
      <c r="C1810" s="589"/>
      <c r="D1810" s="578">
        <v>1</v>
      </c>
      <c r="E1810" s="579" t="s">
        <v>8</v>
      </c>
      <c r="F1810" s="569">
        <v>-1</v>
      </c>
      <c r="G1810" s="598">
        <v>2.15</v>
      </c>
      <c r="H1810" s="591"/>
      <c r="I1810" s="598">
        <v>0.9</v>
      </c>
      <c r="J1810" s="598">
        <f t="shared" si="157"/>
        <v>-1.94</v>
      </c>
      <c r="K1810" s="592"/>
    </row>
    <row r="1811" spans="1:11">
      <c r="A1811" s="568"/>
      <c r="B1811" s="593" t="s">
        <v>1192</v>
      </c>
      <c r="C1811" s="589"/>
      <c r="D1811" s="578">
        <v>1</v>
      </c>
      <c r="E1811" s="579" t="s">
        <v>8</v>
      </c>
      <c r="F1811" s="569">
        <v>-2</v>
      </c>
      <c r="G1811" s="598">
        <v>1.2</v>
      </c>
      <c r="H1811" s="591"/>
      <c r="I1811" s="598">
        <v>0.9</v>
      </c>
      <c r="J1811" s="598">
        <f t="shared" si="157"/>
        <v>-2.16</v>
      </c>
      <c r="K1811" s="592"/>
    </row>
    <row r="1812" spans="1:11">
      <c r="A1812" s="568"/>
      <c r="B1812" s="593" t="s">
        <v>1217</v>
      </c>
      <c r="C1812" s="589"/>
      <c r="D1812" s="578">
        <v>1</v>
      </c>
      <c r="E1812" s="579" t="s">
        <v>8</v>
      </c>
      <c r="F1812" s="569">
        <v>-2</v>
      </c>
      <c r="G1812" s="612">
        <v>1.5</v>
      </c>
      <c r="H1812" s="591"/>
      <c r="I1812" s="598">
        <v>0.75</v>
      </c>
      <c r="J1812" s="598">
        <f t="shared" si="157"/>
        <v>-2.25</v>
      </c>
      <c r="K1812" s="592"/>
    </row>
    <row r="1813" spans="1:11">
      <c r="A1813" s="568"/>
      <c r="B1813" s="593" t="s">
        <v>580</v>
      </c>
      <c r="C1813" s="589"/>
      <c r="D1813" s="578">
        <v>1</v>
      </c>
      <c r="E1813" s="579" t="s">
        <v>8</v>
      </c>
      <c r="F1813" s="569">
        <v>-7</v>
      </c>
      <c r="G1813" s="612">
        <v>0.6</v>
      </c>
      <c r="H1813" s="591"/>
      <c r="I1813" s="598">
        <v>0.75</v>
      </c>
      <c r="J1813" s="598">
        <f t="shared" si="157"/>
        <v>-3.15</v>
      </c>
      <c r="K1813" s="592"/>
    </row>
    <row r="1814" spans="1:11">
      <c r="A1814" s="568"/>
      <c r="B1814" s="622"/>
      <c r="C1814" s="577"/>
      <c r="G1814" s="612"/>
      <c r="H1814" s="598"/>
      <c r="I1814" s="598"/>
      <c r="J1814" s="614">
        <f>SUM(J1765:J1813)</f>
        <v>1017.4432499999998</v>
      </c>
      <c r="K1814" s="581"/>
    </row>
    <row r="1815" spans="1:11">
      <c r="A1815" s="568"/>
      <c r="B1815" s="610" t="s">
        <v>28</v>
      </c>
      <c r="C1815" s="577"/>
      <c r="G1815" s="612"/>
      <c r="H1815" s="598"/>
      <c r="I1815" s="598"/>
      <c r="J1815" s="605">
        <f>ROUNDUP(J1814,0)</f>
        <v>1018</v>
      </c>
      <c r="K1815" s="576" t="s">
        <v>9</v>
      </c>
    </row>
    <row r="1816" spans="1:11">
      <c r="A1816" s="568"/>
      <c r="B1816" s="593"/>
      <c r="C1816" s="577"/>
      <c r="G1816" s="612"/>
      <c r="H1816" s="598"/>
      <c r="I1816" s="598"/>
      <c r="J1816" s="598"/>
      <c r="K1816" s="581"/>
    </row>
    <row r="1817" spans="1:11">
      <c r="A1817" s="568" t="s">
        <v>70</v>
      </c>
      <c r="B1817" s="584" t="s">
        <v>123</v>
      </c>
      <c r="C1817" s="577"/>
      <c r="G1817" s="612"/>
      <c r="H1817" s="598"/>
      <c r="I1817" s="598"/>
      <c r="J1817" s="598"/>
      <c r="K1817" s="581"/>
    </row>
    <row r="1818" spans="1:11">
      <c r="A1818" s="568"/>
      <c r="B1818" s="584" t="s">
        <v>50</v>
      </c>
      <c r="C1818" s="589"/>
      <c r="G1818" s="612"/>
      <c r="H1818" s="591"/>
      <c r="I1818" s="598"/>
      <c r="J1818" s="598"/>
      <c r="K1818" s="592"/>
    </row>
    <row r="1819" spans="1:11">
      <c r="A1819" s="568"/>
      <c r="B1819" s="593" t="s">
        <v>1022</v>
      </c>
      <c r="C1819" s="578" t="s">
        <v>1203</v>
      </c>
      <c r="D1819" s="578">
        <v>1</v>
      </c>
      <c r="E1819" s="579" t="s">
        <v>8</v>
      </c>
      <c r="F1819" s="569">
        <v>1</v>
      </c>
      <c r="G1819" s="590">
        <f>32.92-8*0.2</f>
        <v>31.32</v>
      </c>
      <c r="H1819" s="591"/>
      <c r="I1819" s="591">
        <f>3.4-0.45</f>
        <v>2.9499999999999997</v>
      </c>
      <c r="J1819" s="591">
        <f t="shared" ref="J1819:J1831" si="158">PRODUCT(D1819:I1819)</f>
        <v>92.393999999999991</v>
      </c>
      <c r="K1819" s="592"/>
    </row>
    <row r="1820" spans="1:11">
      <c r="A1820" s="568"/>
      <c r="B1820" s="593"/>
      <c r="C1820" s="578"/>
      <c r="D1820" s="578">
        <v>1</v>
      </c>
      <c r="E1820" s="579" t="s">
        <v>8</v>
      </c>
      <c r="F1820" s="569">
        <v>1</v>
      </c>
      <c r="G1820" s="590">
        <v>1.425</v>
      </c>
      <c r="H1820" s="591"/>
      <c r="I1820" s="591">
        <f t="shared" ref="I1820:I1842" si="159">3.4-0.45</f>
        <v>2.9499999999999997</v>
      </c>
      <c r="J1820" s="591">
        <f t="shared" si="158"/>
        <v>4.2037499999999994</v>
      </c>
      <c r="K1820" s="592"/>
    </row>
    <row r="1821" spans="1:11">
      <c r="A1821" s="568"/>
      <c r="B1821" s="593" t="s">
        <v>1023</v>
      </c>
      <c r="C1821" s="578"/>
      <c r="D1821" s="578">
        <v>1</v>
      </c>
      <c r="E1821" s="579" t="s">
        <v>8</v>
      </c>
      <c r="F1821" s="569">
        <v>1</v>
      </c>
      <c r="G1821" s="590">
        <f>2.9+0.1+1.9+0.2+0.8</f>
        <v>5.9</v>
      </c>
      <c r="H1821" s="591"/>
      <c r="I1821" s="591">
        <f t="shared" si="159"/>
        <v>2.9499999999999997</v>
      </c>
      <c r="J1821" s="591">
        <f t="shared" si="158"/>
        <v>17.405000000000001</v>
      </c>
      <c r="K1821" s="592"/>
    </row>
    <row r="1822" spans="1:11">
      <c r="A1822" s="568"/>
      <c r="B1822" s="593" t="s">
        <v>1030</v>
      </c>
      <c r="C1822" s="578"/>
      <c r="D1822" s="578">
        <v>1</v>
      </c>
      <c r="E1822" s="579" t="s">
        <v>8</v>
      </c>
      <c r="F1822" s="569">
        <v>1</v>
      </c>
      <c r="G1822" s="590">
        <v>0.8</v>
      </c>
      <c r="H1822" s="591"/>
      <c r="I1822" s="591">
        <f t="shared" si="159"/>
        <v>2.9499999999999997</v>
      </c>
      <c r="J1822" s="591">
        <f t="shared" si="158"/>
        <v>2.36</v>
      </c>
      <c r="K1822" s="592"/>
    </row>
    <row r="1823" spans="1:11">
      <c r="A1823" s="568"/>
      <c r="B1823" s="593" t="s">
        <v>575</v>
      </c>
      <c r="C1823" s="578"/>
      <c r="D1823" s="578">
        <v>1</v>
      </c>
      <c r="E1823" s="579" t="s">
        <v>8</v>
      </c>
      <c r="F1823" s="569">
        <v>1</v>
      </c>
      <c r="G1823" s="590">
        <f>3.8*5+2.9+0.1+1.4+1.3</f>
        <v>24.7</v>
      </c>
      <c r="H1823" s="591"/>
      <c r="I1823" s="591">
        <f t="shared" si="159"/>
        <v>2.9499999999999997</v>
      </c>
      <c r="J1823" s="591">
        <f t="shared" si="158"/>
        <v>72.864999999999995</v>
      </c>
      <c r="K1823" s="592"/>
    </row>
    <row r="1824" spans="1:11">
      <c r="A1824" s="568"/>
      <c r="B1824" s="593" t="s">
        <v>574</v>
      </c>
      <c r="C1824" s="578"/>
      <c r="D1824" s="578">
        <v>1</v>
      </c>
      <c r="E1824" s="579" t="s">
        <v>8</v>
      </c>
      <c r="F1824" s="569">
        <v>1</v>
      </c>
      <c r="G1824" s="590">
        <f>1.4+4.9+0.8+0.8+0.67+1.3</f>
        <v>9.870000000000001</v>
      </c>
      <c r="H1824" s="591"/>
      <c r="I1824" s="591">
        <f t="shared" si="159"/>
        <v>2.9499999999999997</v>
      </c>
      <c r="J1824" s="591">
        <f t="shared" si="158"/>
        <v>29.116500000000002</v>
      </c>
      <c r="K1824" s="592"/>
    </row>
    <row r="1825" spans="1:11">
      <c r="A1825" s="568"/>
      <c r="B1825" s="593" t="s">
        <v>572</v>
      </c>
      <c r="C1825" s="578"/>
      <c r="D1825" s="578">
        <v>1</v>
      </c>
      <c r="E1825" s="579" t="s">
        <v>8</v>
      </c>
      <c r="F1825" s="569">
        <v>1</v>
      </c>
      <c r="G1825" s="590">
        <f>2.9+1.9</f>
        <v>4.8</v>
      </c>
      <c r="H1825" s="591"/>
      <c r="I1825" s="591">
        <f t="shared" si="159"/>
        <v>2.9499999999999997</v>
      </c>
      <c r="J1825" s="591">
        <f t="shared" si="158"/>
        <v>14.159999999999998</v>
      </c>
      <c r="K1825" s="592"/>
    </row>
    <row r="1826" spans="1:11">
      <c r="A1826" s="568"/>
      <c r="B1826" s="593" t="s">
        <v>1218</v>
      </c>
      <c r="C1826" s="578"/>
      <c r="D1826" s="578">
        <v>1</v>
      </c>
      <c r="E1826" s="579" t="s">
        <v>8</v>
      </c>
      <c r="F1826" s="569">
        <v>1</v>
      </c>
      <c r="G1826" s="590">
        <v>1.3</v>
      </c>
      <c r="H1826" s="591"/>
      <c r="I1826" s="591">
        <f t="shared" si="159"/>
        <v>2.9499999999999997</v>
      </c>
      <c r="J1826" s="591">
        <f t="shared" si="158"/>
        <v>3.835</v>
      </c>
      <c r="K1826" s="592"/>
    </row>
    <row r="1827" spans="1:11">
      <c r="A1827" s="568"/>
      <c r="B1827" s="593" t="s">
        <v>491</v>
      </c>
      <c r="C1827" s="578"/>
      <c r="D1827" s="578">
        <v>1</v>
      </c>
      <c r="E1827" s="579" t="s">
        <v>8</v>
      </c>
      <c r="F1827" s="569">
        <v>1</v>
      </c>
      <c r="G1827" s="590">
        <v>6.4</v>
      </c>
      <c r="H1827" s="591"/>
      <c r="I1827" s="591">
        <f t="shared" si="159"/>
        <v>2.9499999999999997</v>
      </c>
      <c r="J1827" s="591">
        <f t="shared" si="158"/>
        <v>18.88</v>
      </c>
      <c r="K1827" s="592"/>
    </row>
    <row r="1828" spans="1:11">
      <c r="A1828" s="568"/>
      <c r="B1828" s="593" t="s">
        <v>547</v>
      </c>
      <c r="C1828" s="578"/>
      <c r="D1828" s="578">
        <v>1</v>
      </c>
      <c r="E1828" s="579" t="s">
        <v>8</v>
      </c>
      <c r="F1828" s="569">
        <v>1</v>
      </c>
      <c r="G1828" s="590">
        <f>2.9+0.8+2.5+3.3</f>
        <v>9.5</v>
      </c>
      <c r="H1828" s="591"/>
      <c r="I1828" s="591">
        <f t="shared" si="159"/>
        <v>2.9499999999999997</v>
      </c>
      <c r="J1828" s="591">
        <f t="shared" si="158"/>
        <v>28.024999999999999</v>
      </c>
      <c r="K1828" s="592"/>
    </row>
    <row r="1829" spans="1:11">
      <c r="A1829" s="568"/>
      <c r="B1829" s="593" t="s">
        <v>548</v>
      </c>
      <c r="C1829" s="578"/>
      <c r="D1829" s="578">
        <v>1</v>
      </c>
      <c r="E1829" s="579" t="s">
        <v>8</v>
      </c>
      <c r="F1829" s="569">
        <v>1</v>
      </c>
      <c r="G1829" s="590">
        <f>2.9+0.2+1.9+2.5+0.6+0.8+0.67+3.3+6.4</f>
        <v>19.270000000000003</v>
      </c>
      <c r="H1829" s="591"/>
      <c r="I1829" s="591">
        <f t="shared" si="159"/>
        <v>2.9499999999999997</v>
      </c>
      <c r="J1829" s="591">
        <f t="shared" si="158"/>
        <v>56.846500000000006</v>
      </c>
      <c r="K1829" s="592"/>
    </row>
    <row r="1830" spans="1:11">
      <c r="A1830" s="568"/>
      <c r="B1830" s="593" t="s">
        <v>1219</v>
      </c>
      <c r="C1830" s="578"/>
      <c r="D1830" s="578">
        <v>1</v>
      </c>
      <c r="E1830" s="579" t="s">
        <v>8</v>
      </c>
      <c r="F1830" s="569">
        <v>1</v>
      </c>
      <c r="G1830" s="590">
        <v>1.3</v>
      </c>
      <c r="H1830" s="591"/>
      <c r="I1830" s="591">
        <f t="shared" si="159"/>
        <v>2.9499999999999997</v>
      </c>
      <c r="J1830" s="591">
        <f t="shared" si="158"/>
        <v>3.835</v>
      </c>
      <c r="K1830" s="592"/>
    </row>
    <row r="1831" spans="1:11">
      <c r="A1831" s="568"/>
      <c r="B1831" s="593" t="s">
        <v>583</v>
      </c>
      <c r="C1831" s="578"/>
      <c r="D1831" s="578">
        <v>1</v>
      </c>
      <c r="E1831" s="579" t="s">
        <v>8</v>
      </c>
      <c r="F1831" s="569">
        <v>1</v>
      </c>
      <c r="G1831" s="590">
        <f>3.05+0.55+0.6+0.8+0.67+0.5+1.4+2.7</f>
        <v>10.27</v>
      </c>
      <c r="H1831" s="591"/>
      <c r="I1831" s="591">
        <f t="shared" si="159"/>
        <v>2.9499999999999997</v>
      </c>
      <c r="J1831" s="591">
        <f t="shared" si="158"/>
        <v>30.296499999999995</v>
      </c>
      <c r="K1831" s="592"/>
    </row>
    <row r="1832" spans="1:11">
      <c r="A1832" s="568"/>
      <c r="B1832" s="584" t="s">
        <v>488</v>
      </c>
      <c r="C1832" s="578"/>
      <c r="G1832" s="612"/>
      <c r="H1832" s="591"/>
      <c r="I1832" s="598"/>
      <c r="J1832" s="598"/>
      <c r="K1832" s="592"/>
    </row>
    <row r="1833" spans="1:11">
      <c r="A1833" s="568"/>
      <c r="B1833" s="593" t="s">
        <v>549</v>
      </c>
      <c r="C1833" s="578" t="s">
        <v>1208</v>
      </c>
      <c r="D1833" s="578">
        <v>1</v>
      </c>
      <c r="E1833" s="579" t="s">
        <v>8</v>
      </c>
      <c r="F1833" s="569">
        <v>1</v>
      </c>
      <c r="G1833" s="590">
        <f>20-0.2*6</f>
        <v>18.8</v>
      </c>
      <c r="H1833" s="591"/>
      <c r="I1833" s="591">
        <f t="shared" si="159"/>
        <v>2.9499999999999997</v>
      </c>
      <c r="J1833" s="591">
        <f t="shared" ref="J1833:J1842" si="160">PRODUCT(D1833:I1833)</f>
        <v>55.459999999999994</v>
      </c>
      <c r="K1833" s="592"/>
    </row>
    <row r="1834" spans="1:11">
      <c r="A1834" s="568"/>
      <c r="B1834" s="584"/>
      <c r="C1834" s="578" t="s">
        <v>483</v>
      </c>
      <c r="D1834" s="578">
        <v>1</v>
      </c>
      <c r="E1834" s="579" t="s">
        <v>8</v>
      </c>
      <c r="F1834" s="569">
        <v>1</v>
      </c>
      <c r="G1834" s="590">
        <v>3.3</v>
      </c>
      <c r="H1834" s="591"/>
      <c r="I1834" s="591">
        <f t="shared" si="159"/>
        <v>2.9499999999999997</v>
      </c>
      <c r="J1834" s="591">
        <f t="shared" si="160"/>
        <v>9.7349999999999994</v>
      </c>
      <c r="K1834" s="592"/>
    </row>
    <row r="1835" spans="1:11">
      <c r="A1835" s="568"/>
      <c r="B1835" s="593" t="s">
        <v>1220</v>
      </c>
      <c r="C1835" s="578"/>
      <c r="D1835" s="578">
        <v>1</v>
      </c>
      <c r="E1835" s="579" t="s">
        <v>8</v>
      </c>
      <c r="F1835" s="569">
        <v>1</v>
      </c>
      <c r="G1835" s="590">
        <f>0.7+0.6+0.6+0.7+0.7+0.6+0.6+0.7+0.7+0.6</f>
        <v>6.5</v>
      </c>
      <c r="H1835" s="591"/>
      <c r="I1835" s="591">
        <f t="shared" si="159"/>
        <v>2.9499999999999997</v>
      </c>
      <c r="J1835" s="591">
        <f t="shared" si="160"/>
        <v>19.174999999999997</v>
      </c>
      <c r="K1835" s="592"/>
    </row>
    <row r="1836" spans="1:11">
      <c r="A1836" s="568"/>
      <c r="B1836" s="593" t="s">
        <v>486</v>
      </c>
      <c r="C1836" s="578"/>
      <c r="D1836" s="578">
        <v>1</v>
      </c>
      <c r="E1836" s="579" t="s">
        <v>8</v>
      </c>
      <c r="F1836" s="569">
        <v>1</v>
      </c>
      <c r="G1836" s="590">
        <f>6.4+7.3+4-1.2-1-1</f>
        <v>14.5</v>
      </c>
      <c r="H1836" s="591"/>
      <c r="I1836" s="591">
        <f t="shared" si="159"/>
        <v>2.9499999999999997</v>
      </c>
      <c r="J1836" s="591">
        <f t="shared" si="160"/>
        <v>42.774999999999999</v>
      </c>
      <c r="K1836" s="592"/>
    </row>
    <row r="1837" spans="1:11">
      <c r="A1837" s="568"/>
      <c r="B1837" s="593" t="s">
        <v>1064</v>
      </c>
      <c r="C1837" s="578"/>
      <c r="D1837" s="578">
        <v>1</v>
      </c>
      <c r="E1837" s="579" t="s">
        <v>8</v>
      </c>
      <c r="F1837" s="569">
        <v>1</v>
      </c>
      <c r="G1837" s="590">
        <f>6.4+7.3-1-0.8</f>
        <v>11.899999999999999</v>
      </c>
      <c r="H1837" s="591"/>
      <c r="I1837" s="591">
        <f t="shared" si="159"/>
        <v>2.9499999999999997</v>
      </c>
      <c r="J1837" s="591">
        <f t="shared" si="160"/>
        <v>35.10499999999999</v>
      </c>
      <c r="K1837" s="592"/>
    </row>
    <row r="1838" spans="1:11">
      <c r="A1838" s="568"/>
      <c r="B1838" s="593" t="s">
        <v>1070</v>
      </c>
      <c r="C1838" s="578"/>
      <c r="D1838" s="578">
        <v>1</v>
      </c>
      <c r="E1838" s="579" t="s">
        <v>8</v>
      </c>
      <c r="F1838" s="569">
        <v>1</v>
      </c>
      <c r="G1838" s="590">
        <f>6.4-1-0.8</f>
        <v>4.6000000000000005</v>
      </c>
      <c r="H1838" s="591"/>
      <c r="I1838" s="591">
        <f t="shared" si="159"/>
        <v>2.9499999999999997</v>
      </c>
      <c r="J1838" s="591">
        <f t="shared" si="160"/>
        <v>13.57</v>
      </c>
      <c r="K1838" s="592"/>
    </row>
    <row r="1839" spans="1:11">
      <c r="A1839" s="568"/>
      <c r="B1839" s="593" t="s">
        <v>1210</v>
      </c>
      <c r="C1839" s="578"/>
      <c r="D1839" s="578">
        <v>1</v>
      </c>
      <c r="E1839" s="579" t="s">
        <v>8</v>
      </c>
      <c r="F1839" s="569">
        <v>1</v>
      </c>
      <c r="G1839" s="590">
        <f>6.4-1-0.8+5.2+1.9+0.2</f>
        <v>11.9</v>
      </c>
      <c r="H1839" s="591"/>
      <c r="I1839" s="591">
        <f t="shared" si="159"/>
        <v>2.9499999999999997</v>
      </c>
      <c r="J1839" s="591">
        <f t="shared" si="160"/>
        <v>35.104999999999997</v>
      </c>
      <c r="K1839" s="592"/>
    </row>
    <row r="1840" spans="1:11">
      <c r="A1840" s="568"/>
      <c r="B1840" s="593" t="s">
        <v>1168</v>
      </c>
      <c r="C1840" s="578"/>
      <c r="D1840" s="578">
        <v>1</v>
      </c>
      <c r="E1840" s="579" t="s">
        <v>8</v>
      </c>
      <c r="F1840" s="569">
        <v>1</v>
      </c>
      <c r="G1840" s="590">
        <f>6.4-1-0.8+5.2+1.9+0.2+3.8</f>
        <v>15.7</v>
      </c>
      <c r="H1840" s="591"/>
      <c r="I1840" s="591">
        <f t="shared" si="159"/>
        <v>2.9499999999999997</v>
      </c>
      <c r="J1840" s="591">
        <f t="shared" si="160"/>
        <v>46.314999999999991</v>
      </c>
      <c r="K1840" s="592"/>
    </row>
    <row r="1841" spans="1:11">
      <c r="A1841" s="568"/>
      <c r="B1841" s="593" t="s">
        <v>1213</v>
      </c>
      <c r="C1841" s="578"/>
      <c r="D1841" s="578">
        <v>1</v>
      </c>
      <c r="E1841" s="579" t="s">
        <v>8</v>
      </c>
      <c r="F1841" s="569">
        <v>1</v>
      </c>
      <c r="G1841" s="590">
        <f>6.4-1-0.8+3.8+3.8+3.8</f>
        <v>16</v>
      </c>
      <c r="H1841" s="591"/>
      <c r="I1841" s="591">
        <f t="shared" si="159"/>
        <v>2.9499999999999997</v>
      </c>
      <c r="J1841" s="591">
        <f t="shared" si="160"/>
        <v>47.199999999999996</v>
      </c>
      <c r="K1841" s="592"/>
    </row>
    <row r="1842" spans="1:11">
      <c r="A1842" s="568"/>
      <c r="B1842" s="593" t="s">
        <v>1189</v>
      </c>
      <c r="C1842" s="578"/>
      <c r="D1842" s="578">
        <v>1</v>
      </c>
      <c r="E1842" s="579" t="s">
        <v>8</v>
      </c>
      <c r="F1842" s="569">
        <v>1</v>
      </c>
      <c r="G1842" s="590">
        <f>20-0.2*3-0.9-0.9-0.9</f>
        <v>16.700000000000003</v>
      </c>
      <c r="H1842" s="591"/>
      <c r="I1842" s="591">
        <f t="shared" si="159"/>
        <v>2.9499999999999997</v>
      </c>
      <c r="J1842" s="591">
        <f t="shared" si="160"/>
        <v>49.265000000000001</v>
      </c>
      <c r="K1842" s="592"/>
    </row>
    <row r="1843" spans="1:11">
      <c r="A1843" s="568"/>
      <c r="B1843" s="584" t="s">
        <v>17</v>
      </c>
      <c r="C1843" s="589"/>
      <c r="G1843" s="612"/>
      <c r="H1843" s="591"/>
      <c r="I1843" s="598"/>
      <c r="J1843" s="598"/>
      <c r="K1843" s="592"/>
    </row>
    <row r="1844" spans="1:11">
      <c r="A1844" s="568"/>
      <c r="B1844" s="593" t="s">
        <v>579</v>
      </c>
      <c r="C1844" s="589"/>
      <c r="D1844" s="578">
        <v>1</v>
      </c>
      <c r="E1844" s="579" t="s">
        <v>8</v>
      </c>
      <c r="F1844" s="569">
        <v>-7</v>
      </c>
      <c r="G1844" s="612">
        <v>1.5</v>
      </c>
      <c r="H1844" s="591"/>
      <c r="I1844" s="598">
        <v>1.25</v>
      </c>
      <c r="J1844" s="598">
        <f>ROUNDUP(PRODUCT(D1844:I1844),2)</f>
        <v>-13.129999999999999</v>
      </c>
      <c r="K1844" s="592"/>
    </row>
    <row r="1845" spans="1:11">
      <c r="A1845" s="568"/>
      <c r="B1845" s="593" t="s">
        <v>586</v>
      </c>
      <c r="C1845" s="589"/>
      <c r="D1845" s="578">
        <v>1</v>
      </c>
      <c r="E1845" s="579" t="s">
        <v>8</v>
      </c>
      <c r="F1845" s="569">
        <v>-8</v>
      </c>
      <c r="G1845" s="612">
        <v>2.15</v>
      </c>
      <c r="H1845" s="591"/>
      <c r="I1845" s="598">
        <v>1.2</v>
      </c>
      <c r="J1845" s="598">
        <f t="shared" ref="J1845:J1849" si="161">ROUNDUP(PRODUCT(D1845:I1845),2)</f>
        <v>-20.64</v>
      </c>
      <c r="K1845" s="592"/>
    </row>
    <row r="1846" spans="1:11">
      <c r="A1846" s="568"/>
      <c r="B1846" s="593" t="s">
        <v>580</v>
      </c>
      <c r="C1846" s="589"/>
      <c r="D1846" s="578">
        <v>1</v>
      </c>
      <c r="E1846" s="579" t="s">
        <v>8</v>
      </c>
      <c r="F1846" s="569">
        <v>-8</v>
      </c>
      <c r="G1846" s="612">
        <v>0.6</v>
      </c>
      <c r="H1846" s="591"/>
      <c r="I1846" s="598">
        <v>0.6</v>
      </c>
      <c r="J1846" s="598">
        <f t="shared" si="161"/>
        <v>-2.88</v>
      </c>
      <c r="K1846" s="592"/>
    </row>
    <row r="1847" spans="1:11">
      <c r="A1847" s="568"/>
      <c r="B1847" s="593" t="s">
        <v>582</v>
      </c>
      <c r="C1847" s="589"/>
      <c r="D1847" s="578">
        <v>1</v>
      </c>
      <c r="E1847" s="579" t="s">
        <v>8</v>
      </c>
      <c r="F1847" s="569">
        <v>-6</v>
      </c>
      <c r="G1847" s="612">
        <v>0.3</v>
      </c>
      <c r="H1847" s="591"/>
      <c r="I1847" s="598">
        <v>0.6</v>
      </c>
      <c r="J1847" s="598">
        <f t="shared" si="161"/>
        <v>-1.08</v>
      </c>
      <c r="K1847" s="592"/>
    </row>
    <row r="1848" spans="1:11">
      <c r="A1848" s="568"/>
      <c r="B1848" s="593" t="s">
        <v>585</v>
      </c>
      <c r="C1848" s="589"/>
      <c r="D1848" s="578">
        <v>1</v>
      </c>
      <c r="E1848" s="579" t="s">
        <v>8</v>
      </c>
      <c r="F1848" s="569">
        <v>-8</v>
      </c>
      <c r="G1848" s="612">
        <v>0.9</v>
      </c>
      <c r="H1848" s="591"/>
      <c r="I1848" s="598">
        <v>2.1</v>
      </c>
      <c r="J1848" s="598">
        <f t="shared" si="161"/>
        <v>-15.12</v>
      </c>
      <c r="K1848" s="592"/>
    </row>
    <row r="1849" spans="1:11">
      <c r="A1849" s="568"/>
      <c r="B1849" s="593" t="s">
        <v>581</v>
      </c>
      <c r="C1849" s="589"/>
      <c r="D1849" s="578">
        <v>1</v>
      </c>
      <c r="E1849" s="579" t="s">
        <v>8</v>
      </c>
      <c r="F1849" s="569">
        <v>-1</v>
      </c>
      <c r="G1849" s="612">
        <v>0.9</v>
      </c>
      <c r="H1849" s="591"/>
      <c r="I1849" s="598">
        <v>2.1</v>
      </c>
      <c r="J1849" s="598">
        <f t="shared" si="161"/>
        <v>-1.89</v>
      </c>
      <c r="K1849" s="592"/>
    </row>
    <row r="1850" spans="1:11">
      <c r="A1850" s="568"/>
      <c r="B1850" s="622"/>
      <c r="C1850" s="577"/>
      <c r="G1850" s="612"/>
      <c r="H1850" s="598"/>
      <c r="I1850" s="598"/>
      <c r="J1850" s="614">
        <f>SUM(J1819:J1849)</f>
        <v>673.18724999999995</v>
      </c>
      <c r="K1850" s="581"/>
    </row>
    <row r="1851" spans="1:11">
      <c r="A1851" s="568"/>
      <c r="B1851" s="610" t="s">
        <v>1669</v>
      </c>
      <c r="C1851" s="577"/>
      <c r="G1851" s="612"/>
      <c r="H1851" s="598"/>
      <c r="I1851" s="598"/>
      <c r="J1851" s="605">
        <f>ROUNDUP(J1850,0)</f>
        <v>674</v>
      </c>
      <c r="K1851" s="576" t="s">
        <v>9</v>
      </c>
    </row>
    <row r="1852" spans="1:11">
      <c r="A1852" s="568"/>
      <c r="B1852" s="593" t="s">
        <v>1668</v>
      </c>
      <c r="C1852" s="577"/>
      <c r="D1852" s="578">
        <v>1</v>
      </c>
      <c r="E1852" s="579" t="s">
        <v>8</v>
      </c>
      <c r="F1852" s="569">
        <v>2</v>
      </c>
      <c r="G1852" s="612">
        <v>3.4</v>
      </c>
      <c r="H1852" s="598"/>
      <c r="I1852" s="598">
        <v>1.9</v>
      </c>
      <c r="J1852" s="598">
        <f t="shared" ref="J1852:J1861" si="162">ROUNDUP(PRODUCT(D1852:I1852),2)</f>
        <v>12.92</v>
      </c>
      <c r="K1852" s="576"/>
    </row>
    <row r="1853" spans="1:11">
      <c r="A1853" s="568"/>
      <c r="B1853" s="593"/>
      <c r="C1853" s="577"/>
      <c r="D1853" s="578">
        <v>1</v>
      </c>
      <c r="E1853" s="579" t="s">
        <v>8</v>
      </c>
      <c r="F1853" s="569">
        <v>2</v>
      </c>
      <c r="G1853" s="612">
        <v>3.8</v>
      </c>
      <c r="H1853" s="598"/>
      <c r="I1853" s="598">
        <v>1.9</v>
      </c>
      <c r="J1853" s="598">
        <f t="shared" si="162"/>
        <v>14.44</v>
      </c>
      <c r="K1853" s="576"/>
    </row>
    <row r="1854" spans="1:11">
      <c r="A1854" s="568"/>
      <c r="B1854" s="593"/>
      <c r="C1854" s="577"/>
      <c r="D1854" s="578">
        <v>1</v>
      </c>
      <c r="E1854" s="579" t="s">
        <v>8</v>
      </c>
      <c r="F1854" s="569">
        <v>4</v>
      </c>
      <c r="G1854" s="612">
        <v>1.5</v>
      </c>
      <c r="H1854" s="598"/>
      <c r="I1854" s="598">
        <v>1.9</v>
      </c>
      <c r="J1854" s="598">
        <f t="shared" si="162"/>
        <v>11.4</v>
      </c>
      <c r="K1854" s="576"/>
    </row>
    <row r="1855" spans="1:11">
      <c r="A1855" s="568"/>
      <c r="B1855" s="593"/>
      <c r="C1855" s="577"/>
      <c r="D1855" s="578">
        <v>1</v>
      </c>
      <c r="E1855" s="579" t="s">
        <v>8</v>
      </c>
      <c r="F1855" s="569">
        <v>1</v>
      </c>
      <c r="G1855" s="612">
        <v>2.95</v>
      </c>
      <c r="H1855" s="598"/>
      <c r="I1855" s="598">
        <v>1.9</v>
      </c>
      <c r="J1855" s="598">
        <f t="shared" si="162"/>
        <v>5.6099999999999994</v>
      </c>
      <c r="K1855" s="576"/>
    </row>
    <row r="1856" spans="1:11">
      <c r="A1856" s="568"/>
      <c r="B1856" s="593"/>
      <c r="C1856" s="577"/>
      <c r="D1856" s="578">
        <v>1</v>
      </c>
      <c r="E1856" s="579" t="s">
        <v>8</v>
      </c>
      <c r="F1856" s="569">
        <v>1</v>
      </c>
      <c r="G1856" s="612">
        <v>3.4</v>
      </c>
      <c r="H1856" s="598"/>
      <c r="I1856" s="598">
        <v>1.9</v>
      </c>
      <c r="J1856" s="598">
        <f t="shared" si="162"/>
        <v>6.46</v>
      </c>
      <c r="K1856" s="576"/>
    </row>
    <row r="1857" spans="1:11">
      <c r="A1857" s="568"/>
      <c r="B1857" s="593"/>
      <c r="C1857" s="577"/>
      <c r="D1857" s="578">
        <v>1</v>
      </c>
      <c r="E1857" s="579" t="s">
        <v>8</v>
      </c>
      <c r="F1857" s="569">
        <v>1</v>
      </c>
      <c r="G1857" s="612">
        <v>3.8</v>
      </c>
      <c r="H1857" s="598"/>
      <c r="I1857" s="598">
        <v>1.9</v>
      </c>
      <c r="J1857" s="598">
        <f t="shared" si="162"/>
        <v>7.22</v>
      </c>
      <c r="K1857" s="576"/>
    </row>
    <row r="1858" spans="1:11">
      <c r="A1858" s="568"/>
      <c r="B1858" s="593"/>
      <c r="C1858" s="577"/>
      <c r="D1858" s="578">
        <v>1</v>
      </c>
      <c r="E1858" s="579" t="s">
        <v>8</v>
      </c>
      <c r="F1858" s="569">
        <v>1</v>
      </c>
      <c r="G1858" s="612">
        <v>3</v>
      </c>
      <c r="H1858" s="598"/>
      <c r="I1858" s="598">
        <v>1.9</v>
      </c>
      <c r="J1858" s="598">
        <f t="shared" si="162"/>
        <v>5.7</v>
      </c>
      <c r="K1858" s="576"/>
    </row>
    <row r="1859" spans="1:11">
      <c r="A1859" s="568"/>
      <c r="B1859" s="593" t="s">
        <v>1671</v>
      </c>
      <c r="C1859" s="577"/>
      <c r="D1859" s="578">
        <v>1</v>
      </c>
      <c r="E1859" s="579" t="s">
        <v>8</v>
      </c>
      <c r="F1859" s="569">
        <v>1</v>
      </c>
      <c r="G1859" s="612">
        <v>2.8</v>
      </c>
      <c r="H1859" s="598"/>
      <c r="I1859" s="598">
        <v>2.95</v>
      </c>
      <c r="J1859" s="598">
        <f t="shared" si="162"/>
        <v>8.26</v>
      </c>
      <c r="K1859" s="581"/>
    </row>
    <row r="1860" spans="1:11">
      <c r="A1860" s="568"/>
      <c r="B1860" s="593" t="s">
        <v>1670</v>
      </c>
      <c r="C1860" s="577"/>
      <c r="D1860" s="578">
        <v>1</v>
      </c>
      <c r="E1860" s="579" t="s">
        <v>8</v>
      </c>
      <c r="F1860" s="569">
        <v>1</v>
      </c>
      <c r="G1860" s="612">
        <v>1.3</v>
      </c>
      <c r="H1860" s="598"/>
      <c r="I1860" s="598">
        <v>2.95</v>
      </c>
      <c r="J1860" s="598">
        <f t="shared" si="162"/>
        <v>3.84</v>
      </c>
      <c r="K1860" s="581"/>
    </row>
    <row r="1861" spans="1:11">
      <c r="A1861" s="568"/>
      <c r="B1861" s="593" t="s">
        <v>1673</v>
      </c>
      <c r="C1861" s="577"/>
      <c r="D1861" s="578">
        <v>1</v>
      </c>
      <c r="E1861" s="579" t="s">
        <v>8</v>
      </c>
      <c r="F1861" s="569">
        <v>1</v>
      </c>
      <c r="G1861" s="612">
        <v>2.8</v>
      </c>
      <c r="H1861" s="598"/>
      <c r="I1861" s="598">
        <v>2.95</v>
      </c>
      <c r="J1861" s="598">
        <f t="shared" si="162"/>
        <v>8.26</v>
      </c>
      <c r="K1861" s="581"/>
    </row>
    <row r="1862" spans="1:11">
      <c r="A1862" s="568"/>
      <c r="B1862" s="610" t="s">
        <v>28</v>
      </c>
      <c r="C1862" s="577"/>
      <c r="G1862" s="612"/>
      <c r="H1862" s="598"/>
      <c r="I1862" s="598"/>
      <c r="J1862" s="614">
        <f>SUM(J1851:J1861)</f>
        <v>758.11000000000013</v>
      </c>
      <c r="K1862" s="576" t="s">
        <v>9</v>
      </c>
    </row>
    <row r="1863" spans="1:11">
      <c r="A1863" s="568" t="s">
        <v>69</v>
      </c>
      <c r="B1863" s="584" t="s">
        <v>122</v>
      </c>
      <c r="C1863" s="577"/>
      <c r="G1863" s="612"/>
      <c r="H1863" s="598"/>
      <c r="I1863" s="598"/>
      <c r="J1863" s="598"/>
      <c r="K1863" s="581"/>
    </row>
    <row r="1864" spans="1:11">
      <c r="A1864" s="568"/>
      <c r="B1864" s="593" t="s">
        <v>588</v>
      </c>
      <c r="C1864" s="577"/>
      <c r="G1864" s="612"/>
      <c r="H1864" s="598"/>
      <c r="I1864" s="598"/>
      <c r="J1864" s="591">
        <f>ROUNDUP(J1851,0)</f>
        <v>674</v>
      </c>
      <c r="K1864" s="581" t="s">
        <v>9</v>
      </c>
    </row>
    <row r="1865" spans="1:11">
      <c r="A1865" s="568"/>
      <c r="B1865" s="593" t="s">
        <v>1668</v>
      </c>
      <c r="C1865" s="577"/>
      <c r="D1865" s="578">
        <v>1</v>
      </c>
      <c r="E1865" s="579" t="s">
        <v>8</v>
      </c>
      <c r="F1865" s="569">
        <v>2</v>
      </c>
      <c r="G1865" s="612">
        <v>3</v>
      </c>
      <c r="H1865" s="598"/>
      <c r="I1865" s="598">
        <v>1.9</v>
      </c>
      <c r="J1865" s="598">
        <f t="shared" ref="J1865:J1871" si="163">ROUNDUP(PRODUCT(D1865:I1865),2)</f>
        <v>11.4</v>
      </c>
      <c r="K1865" s="576"/>
    </row>
    <row r="1866" spans="1:11">
      <c r="A1866" s="568"/>
      <c r="B1866" s="593"/>
      <c r="C1866" s="577"/>
      <c r="D1866" s="578">
        <v>1</v>
      </c>
      <c r="E1866" s="579" t="s">
        <v>8</v>
      </c>
      <c r="F1866" s="569">
        <v>1</v>
      </c>
      <c r="G1866" s="612">
        <v>3.4</v>
      </c>
      <c r="H1866" s="598"/>
      <c r="I1866" s="598">
        <v>1.9</v>
      </c>
      <c r="J1866" s="598">
        <f t="shared" si="163"/>
        <v>6.46</v>
      </c>
      <c r="K1866" s="576"/>
    </row>
    <row r="1867" spans="1:11">
      <c r="A1867" s="568"/>
      <c r="B1867" s="593"/>
      <c r="C1867" s="577"/>
      <c r="D1867" s="578">
        <v>1</v>
      </c>
      <c r="E1867" s="579" t="s">
        <v>8</v>
      </c>
      <c r="F1867" s="569">
        <v>1</v>
      </c>
      <c r="G1867" s="612">
        <v>3.8</v>
      </c>
      <c r="H1867" s="598"/>
      <c r="I1867" s="598">
        <v>1.9</v>
      </c>
      <c r="J1867" s="598">
        <f t="shared" si="163"/>
        <v>7.22</v>
      </c>
      <c r="K1867" s="576"/>
    </row>
    <row r="1868" spans="1:11">
      <c r="A1868" s="568"/>
      <c r="B1868" s="593"/>
      <c r="C1868" s="577"/>
      <c r="D1868" s="578">
        <v>1</v>
      </c>
      <c r="E1868" s="579" t="s">
        <v>8</v>
      </c>
      <c r="F1868" s="569">
        <v>2</v>
      </c>
      <c r="G1868" s="612">
        <v>1.5</v>
      </c>
      <c r="H1868" s="598"/>
      <c r="I1868" s="598">
        <v>1.9</v>
      </c>
      <c r="J1868" s="598">
        <f t="shared" si="163"/>
        <v>5.7</v>
      </c>
      <c r="K1868" s="576"/>
    </row>
    <row r="1869" spans="1:11">
      <c r="A1869" s="568"/>
      <c r="B1869" s="593" t="s">
        <v>1671</v>
      </c>
      <c r="C1869" s="577"/>
      <c r="D1869" s="578">
        <v>1</v>
      </c>
      <c r="E1869" s="579" t="s">
        <v>8</v>
      </c>
      <c r="F1869" s="569">
        <v>1</v>
      </c>
      <c r="G1869" s="612">
        <v>2.8</v>
      </c>
      <c r="H1869" s="598"/>
      <c r="I1869" s="598">
        <v>2.95</v>
      </c>
      <c r="J1869" s="598">
        <f t="shared" si="163"/>
        <v>8.26</v>
      </c>
      <c r="K1869" s="581"/>
    </row>
    <row r="1870" spans="1:11">
      <c r="A1870" s="568"/>
      <c r="B1870" s="593" t="s">
        <v>1670</v>
      </c>
      <c r="C1870" s="577"/>
      <c r="D1870" s="578">
        <v>1</v>
      </c>
      <c r="E1870" s="579" t="s">
        <v>8</v>
      </c>
      <c r="F1870" s="569">
        <v>1</v>
      </c>
      <c r="G1870" s="612">
        <v>1.3</v>
      </c>
      <c r="H1870" s="598"/>
      <c r="I1870" s="598">
        <v>2.95</v>
      </c>
      <c r="J1870" s="598">
        <f t="shared" si="163"/>
        <v>3.84</v>
      </c>
      <c r="K1870" s="581"/>
    </row>
    <row r="1871" spans="1:11">
      <c r="A1871" s="568"/>
      <c r="B1871" s="593" t="s">
        <v>1674</v>
      </c>
      <c r="C1871" s="577"/>
      <c r="D1871" s="578">
        <v>1</v>
      </c>
      <c r="E1871" s="579" t="s">
        <v>8</v>
      </c>
      <c r="F1871" s="569">
        <v>1</v>
      </c>
      <c r="G1871" s="612">
        <v>2.8</v>
      </c>
      <c r="H1871" s="598"/>
      <c r="I1871" s="598">
        <v>2.95</v>
      </c>
      <c r="J1871" s="598">
        <f t="shared" si="163"/>
        <v>8.26</v>
      </c>
      <c r="K1871" s="581"/>
    </row>
    <row r="1872" spans="1:11">
      <c r="A1872" s="568"/>
      <c r="B1872" s="610" t="s">
        <v>28</v>
      </c>
      <c r="C1872" s="577"/>
      <c r="G1872" s="612"/>
      <c r="H1872" s="598"/>
      <c r="I1872" s="598"/>
      <c r="J1872" s="614">
        <f>SUM(J1864:J1871)</f>
        <v>725.1400000000001</v>
      </c>
      <c r="K1872" s="576" t="s">
        <v>9</v>
      </c>
    </row>
    <row r="1873" spans="1:11">
      <c r="A1873" s="568" t="s">
        <v>68</v>
      </c>
      <c r="B1873" s="584" t="s">
        <v>553</v>
      </c>
      <c r="C1873" s="577"/>
      <c r="G1873" s="612"/>
      <c r="H1873" s="598"/>
      <c r="I1873" s="598"/>
      <c r="J1873" s="598"/>
      <c r="K1873" s="581"/>
    </row>
    <row r="1874" spans="1:11" ht="36">
      <c r="A1874" s="568"/>
      <c r="B1874" s="593" t="s">
        <v>589</v>
      </c>
      <c r="C1874" s="577"/>
      <c r="G1874" s="612"/>
      <c r="H1874" s="598"/>
      <c r="I1874" s="598"/>
      <c r="J1874" s="591">
        <f>J1864</f>
        <v>674</v>
      </c>
      <c r="K1874" s="581" t="s">
        <v>9</v>
      </c>
    </row>
    <row r="1875" spans="1:11">
      <c r="A1875" s="568"/>
      <c r="B1875" s="593" t="s">
        <v>1668</v>
      </c>
      <c r="C1875" s="577"/>
      <c r="D1875" s="578">
        <v>1</v>
      </c>
      <c r="E1875" s="579" t="s">
        <v>8</v>
      </c>
      <c r="F1875" s="569">
        <v>2</v>
      </c>
      <c r="G1875" s="612">
        <v>3</v>
      </c>
      <c r="H1875" s="598"/>
      <c r="I1875" s="598">
        <v>1.9</v>
      </c>
      <c r="J1875" s="598">
        <f t="shared" ref="J1875:J1880" si="164">ROUNDUP(PRODUCT(D1875:I1875),2)</f>
        <v>11.4</v>
      </c>
      <c r="K1875" s="576"/>
    </row>
    <row r="1876" spans="1:11">
      <c r="A1876" s="568"/>
      <c r="B1876" s="593"/>
      <c r="C1876" s="577"/>
      <c r="D1876" s="578">
        <v>1</v>
      </c>
      <c r="E1876" s="579" t="s">
        <v>8</v>
      </c>
      <c r="F1876" s="569">
        <v>1</v>
      </c>
      <c r="G1876" s="612">
        <v>3.4</v>
      </c>
      <c r="H1876" s="598"/>
      <c r="I1876" s="598">
        <v>1.9</v>
      </c>
      <c r="J1876" s="598">
        <f t="shared" si="164"/>
        <v>6.46</v>
      </c>
      <c r="K1876" s="576"/>
    </row>
    <row r="1877" spans="1:11">
      <c r="A1877" s="568"/>
      <c r="B1877" s="593"/>
      <c r="C1877" s="577"/>
      <c r="D1877" s="578">
        <v>1</v>
      </c>
      <c r="E1877" s="579" t="s">
        <v>8</v>
      </c>
      <c r="F1877" s="569">
        <v>1</v>
      </c>
      <c r="G1877" s="612">
        <v>3.8</v>
      </c>
      <c r="H1877" s="598"/>
      <c r="I1877" s="598">
        <v>1.9</v>
      </c>
      <c r="J1877" s="598">
        <f t="shared" si="164"/>
        <v>7.22</v>
      </c>
      <c r="K1877" s="576"/>
    </row>
    <row r="1878" spans="1:11">
      <c r="A1878" s="568"/>
      <c r="B1878" s="593"/>
      <c r="C1878" s="577"/>
      <c r="D1878" s="578">
        <v>1</v>
      </c>
      <c r="E1878" s="579" t="s">
        <v>8</v>
      </c>
      <c r="F1878" s="569">
        <v>2</v>
      </c>
      <c r="G1878" s="612">
        <v>1.5</v>
      </c>
      <c r="H1878" s="598"/>
      <c r="I1878" s="598">
        <v>1.9</v>
      </c>
      <c r="J1878" s="598">
        <f t="shared" si="164"/>
        <v>5.7</v>
      </c>
      <c r="K1878" s="576"/>
    </row>
    <row r="1879" spans="1:11">
      <c r="A1879" s="568"/>
      <c r="B1879" s="593" t="s">
        <v>1671</v>
      </c>
      <c r="C1879" s="577"/>
      <c r="D1879" s="578">
        <v>1</v>
      </c>
      <c r="E1879" s="579" t="s">
        <v>8</v>
      </c>
      <c r="F1879" s="569">
        <v>1</v>
      </c>
      <c r="G1879" s="612">
        <v>2.8</v>
      </c>
      <c r="H1879" s="598"/>
      <c r="I1879" s="598">
        <v>2.95</v>
      </c>
      <c r="J1879" s="598">
        <f t="shared" si="164"/>
        <v>8.26</v>
      </c>
      <c r="K1879" s="581"/>
    </row>
    <row r="1880" spans="1:11">
      <c r="A1880" s="568"/>
      <c r="B1880" s="593" t="s">
        <v>1670</v>
      </c>
      <c r="C1880" s="577"/>
      <c r="D1880" s="578">
        <v>1</v>
      </c>
      <c r="E1880" s="579" t="s">
        <v>8</v>
      </c>
      <c r="F1880" s="569">
        <v>1</v>
      </c>
      <c r="G1880" s="612">
        <v>1.3</v>
      </c>
      <c r="H1880" s="598"/>
      <c r="I1880" s="598">
        <v>2.95</v>
      </c>
      <c r="J1880" s="598">
        <f t="shared" si="164"/>
        <v>3.84</v>
      </c>
      <c r="K1880" s="581"/>
    </row>
    <row r="1881" spans="1:11">
      <c r="A1881" s="568"/>
      <c r="B1881" s="610" t="s">
        <v>28</v>
      </c>
      <c r="C1881" s="577"/>
      <c r="G1881" s="612"/>
      <c r="H1881" s="598"/>
      <c r="I1881" s="598"/>
      <c r="J1881" s="614">
        <f>SUM(J1874:J1880)</f>
        <v>716.88000000000011</v>
      </c>
      <c r="K1881" s="576" t="s">
        <v>9</v>
      </c>
    </row>
    <row r="1882" spans="1:11">
      <c r="A1882" s="568" t="s">
        <v>528</v>
      </c>
      <c r="B1882" s="584" t="s">
        <v>25</v>
      </c>
      <c r="C1882" s="577"/>
      <c r="G1882" s="612"/>
      <c r="H1882" s="598"/>
      <c r="I1882" s="598"/>
      <c r="J1882" s="598"/>
      <c r="K1882" s="581"/>
    </row>
    <row r="1883" spans="1:11">
      <c r="A1883" s="568"/>
      <c r="B1883" s="593" t="s">
        <v>1268</v>
      </c>
      <c r="C1883" s="577"/>
      <c r="D1883" s="578">
        <v>1</v>
      </c>
      <c r="E1883" s="579" t="s">
        <v>8</v>
      </c>
      <c r="F1883" s="569">
        <v>2</v>
      </c>
      <c r="G1883" s="612">
        <f>3.7+1.5+3.6+3.6+1.5+2.1</f>
        <v>16</v>
      </c>
      <c r="H1883" s="591"/>
      <c r="I1883" s="598">
        <f>3.4-0.45</f>
        <v>2.9499999999999997</v>
      </c>
      <c r="J1883" s="598">
        <f t="shared" ref="J1883:J1887" si="165">ROUNDUP(PRODUCT(D1883:I1883),2)</f>
        <v>94.4</v>
      </c>
      <c r="K1883" s="581"/>
    </row>
    <row r="1884" spans="1:11">
      <c r="A1884" s="568"/>
      <c r="B1884" s="593" t="s">
        <v>640</v>
      </c>
      <c r="C1884" s="577"/>
      <c r="D1884" s="578">
        <v>1</v>
      </c>
      <c r="E1884" s="579" t="s">
        <v>8</v>
      </c>
      <c r="F1884" s="569">
        <v>1</v>
      </c>
      <c r="G1884" s="612">
        <f>2.1+0.9+1.9+1.9+0.93</f>
        <v>7.73</v>
      </c>
      <c r="H1884" s="591"/>
      <c r="I1884" s="598">
        <f t="shared" ref="I1884:I1885" si="166">3.4-0.45</f>
        <v>2.9499999999999997</v>
      </c>
      <c r="J1884" s="598">
        <f t="shared" si="165"/>
        <v>22.810000000000002</v>
      </c>
      <c r="K1884" s="581"/>
    </row>
    <row r="1885" spans="1:11">
      <c r="A1885" s="568"/>
      <c r="B1885" s="629" t="s">
        <v>1102</v>
      </c>
      <c r="C1885" s="577"/>
      <c r="D1885" s="578">
        <v>1</v>
      </c>
      <c r="E1885" s="579" t="s">
        <v>8</v>
      </c>
      <c r="F1885" s="569">
        <v>1</v>
      </c>
      <c r="G1885" s="612">
        <f>5.07+3.44+5.07+3.44</f>
        <v>17.02</v>
      </c>
      <c r="H1885" s="591"/>
      <c r="I1885" s="598">
        <f t="shared" si="166"/>
        <v>2.9499999999999997</v>
      </c>
      <c r="J1885" s="598">
        <f t="shared" si="165"/>
        <v>50.21</v>
      </c>
      <c r="K1885" s="581"/>
    </row>
    <row r="1886" spans="1:11">
      <c r="A1886" s="568"/>
      <c r="B1886" s="584" t="s">
        <v>17</v>
      </c>
      <c r="C1886" s="577"/>
      <c r="G1886" s="612"/>
      <c r="H1886" s="598"/>
      <c r="I1886" s="598"/>
      <c r="J1886" s="598"/>
      <c r="K1886" s="581"/>
    </row>
    <row r="1887" spans="1:11">
      <c r="A1887" s="568"/>
      <c r="B1887" s="593" t="s">
        <v>585</v>
      </c>
      <c r="C1887" s="577"/>
      <c r="D1887" s="578">
        <v>-1</v>
      </c>
      <c r="E1887" s="579" t="s">
        <v>8</v>
      </c>
      <c r="F1887" s="569">
        <v>3</v>
      </c>
      <c r="G1887" s="612">
        <v>0.9</v>
      </c>
      <c r="H1887" s="591"/>
      <c r="I1887" s="598">
        <v>2.15</v>
      </c>
      <c r="J1887" s="598">
        <f t="shared" si="165"/>
        <v>-5.81</v>
      </c>
      <c r="K1887" s="581"/>
    </row>
    <row r="1888" spans="1:11">
      <c r="A1888" s="568"/>
      <c r="B1888" s="622"/>
      <c r="C1888" s="577"/>
      <c r="G1888" s="612"/>
      <c r="H1888" s="598"/>
      <c r="I1888" s="598"/>
      <c r="J1888" s="614">
        <f>SUM(J1883:J1887)</f>
        <v>161.61000000000001</v>
      </c>
      <c r="K1888" s="581"/>
    </row>
    <row r="1889" spans="1:11">
      <c r="A1889" s="568"/>
      <c r="B1889" s="622" t="s">
        <v>28</v>
      </c>
      <c r="C1889" s="577"/>
      <c r="G1889" s="612"/>
      <c r="H1889" s="598"/>
      <c r="I1889" s="598"/>
      <c r="J1889" s="605">
        <f>ROUNDUP(J1888,0)</f>
        <v>162</v>
      </c>
      <c r="K1889" s="576" t="s">
        <v>9</v>
      </c>
    </row>
    <row r="1890" spans="1:11">
      <c r="A1890" s="568"/>
      <c r="B1890" s="593"/>
      <c r="C1890" s="577"/>
      <c r="G1890" s="612"/>
      <c r="H1890" s="598"/>
      <c r="I1890" s="598"/>
      <c r="J1890" s="598"/>
      <c r="K1890" s="581"/>
    </row>
    <row r="1891" spans="1:11" ht="28.5" customHeight="1">
      <c r="A1891" s="568" t="s">
        <v>691</v>
      </c>
      <c r="B1891" s="737" t="str">
        <f>'BOQ-C&amp;I'!C78</f>
        <v>For 600mm x 100mmx 200mm thick AAC block wall - CM 1:3</v>
      </c>
      <c r="C1891" s="738"/>
      <c r="D1891" s="738"/>
      <c r="E1891" s="738"/>
      <c r="F1891" s="738"/>
      <c r="G1891" s="738"/>
      <c r="H1891" s="738"/>
      <c r="I1891" s="738"/>
      <c r="J1891" s="738"/>
      <c r="K1891" s="739"/>
    </row>
    <row r="1892" spans="1:11">
      <c r="A1892" s="568" t="s">
        <v>71</v>
      </c>
      <c r="B1892" s="584" t="s">
        <v>12</v>
      </c>
      <c r="C1892" s="577"/>
      <c r="G1892" s="612"/>
      <c r="H1892" s="598"/>
      <c r="I1892" s="598"/>
      <c r="J1892" s="598"/>
      <c r="K1892" s="581"/>
    </row>
    <row r="1893" spans="1:11">
      <c r="A1893" s="568"/>
      <c r="B1893" s="593" t="s">
        <v>1221</v>
      </c>
      <c r="C1893" s="577"/>
      <c r="G1893" s="612"/>
      <c r="H1893" s="598"/>
      <c r="I1893" s="598"/>
      <c r="J1893" s="598"/>
      <c r="K1893" s="581"/>
    </row>
    <row r="1894" spans="1:11">
      <c r="A1894" s="568"/>
      <c r="B1894" s="593" t="s">
        <v>1099</v>
      </c>
      <c r="C1894" s="589"/>
      <c r="D1894" s="578">
        <v>1</v>
      </c>
      <c r="E1894" s="579" t="s">
        <v>8</v>
      </c>
      <c r="F1894" s="569">
        <v>2</v>
      </c>
      <c r="G1894" s="612">
        <f>2.2+2.2</f>
        <v>4.4000000000000004</v>
      </c>
      <c r="H1894" s="591"/>
      <c r="I1894" s="598">
        <f>4-0.45</f>
        <v>3.55</v>
      </c>
      <c r="J1894" s="598">
        <f t="shared" ref="J1894:J1899" si="167">ROUNDUP(PRODUCT(D1894:I1894),2)</f>
        <v>31.24</v>
      </c>
      <c r="K1894" s="581"/>
    </row>
    <row r="1895" spans="1:11">
      <c r="A1895" s="568"/>
      <c r="B1895" s="593" t="s">
        <v>1103</v>
      </c>
      <c r="C1895" s="589"/>
      <c r="D1895" s="578">
        <v>1</v>
      </c>
      <c r="E1895" s="579" t="s">
        <v>8</v>
      </c>
      <c r="F1895" s="569">
        <v>1</v>
      </c>
      <c r="G1895" s="612">
        <f>1.5+1.2+1.2</f>
        <v>3.9000000000000004</v>
      </c>
      <c r="H1895" s="591"/>
      <c r="I1895" s="598">
        <f t="shared" ref="I1895:I1899" si="168">4-0.45</f>
        <v>3.55</v>
      </c>
      <c r="J1895" s="598">
        <f t="shared" si="167"/>
        <v>13.85</v>
      </c>
      <c r="K1895" s="581"/>
    </row>
    <row r="1896" spans="1:11">
      <c r="A1896" s="568"/>
      <c r="B1896" s="593" t="s">
        <v>1099</v>
      </c>
      <c r="C1896" s="589"/>
      <c r="D1896" s="578">
        <v>1</v>
      </c>
      <c r="E1896" s="579" t="s">
        <v>8</v>
      </c>
      <c r="F1896" s="569">
        <v>2</v>
      </c>
      <c r="G1896" s="612">
        <f>2.2+2.2+0.1</f>
        <v>4.5</v>
      </c>
      <c r="H1896" s="591"/>
      <c r="I1896" s="598">
        <f t="shared" si="168"/>
        <v>3.55</v>
      </c>
      <c r="J1896" s="598">
        <f t="shared" si="167"/>
        <v>31.95</v>
      </c>
      <c r="K1896" s="581"/>
    </row>
    <row r="1897" spans="1:11">
      <c r="A1897" s="568"/>
      <c r="B1897" s="593" t="s">
        <v>13</v>
      </c>
      <c r="C1897" s="589"/>
      <c r="D1897" s="578">
        <v>1</v>
      </c>
      <c r="E1897" s="579" t="s">
        <v>8</v>
      </c>
      <c r="F1897" s="569">
        <v>1</v>
      </c>
      <c r="G1897" s="612">
        <f>1.5+1.6+0.1</f>
        <v>3.2</v>
      </c>
      <c r="H1897" s="591"/>
      <c r="I1897" s="598">
        <f t="shared" si="168"/>
        <v>3.55</v>
      </c>
      <c r="J1897" s="598">
        <f t="shared" si="167"/>
        <v>11.36</v>
      </c>
      <c r="K1897" s="581"/>
    </row>
    <row r="1898" spans="1:11">
      <c r="A1898" s="568"/>
      <c r="B1898" s="593" t="s">
        <v>13</v>
      </c>
      <c r="C1898" s="589"/>
      <c r="D1898" s="578">
        <v>1</v>
      </c>
      <c r="E1898" s="579" t="s">
        <v>8</v>
      </c>
      <c r="F1898" s="569">
        <v>1</v>
      </c>
      <c r="G1898" s="612">
        <v>1.6</v>
      </c>
      <c r="H1898" s="591"/>
      <c r="I1898" s="598">
        <f t="shared" si="168"/>
        <v>3.55</v>
      </c>
      <c r="J1898" s="598">
        <f t="shared" si="167"/>
        <v>5.68</v>
      </c>
      <c r="K1898" s="581"/>
    </row>
    <row r="1899" spans="1:11">
      <c r="A1899" s="568"/>
      <c r="B1899" s="593" t="s">
        <v>13</v>
      </c>
      <c r="C1899" s="589"/>
      <c r="D1899" s="578">
        <v>1</v>
      </c>
      <c r="E1899" s="579" t="s">
        <v>8</v>
      </c>
      <c r="F1899" s="569">
        <v>1</v>
      </c>
      <c r="G1899" s="612">
        <v>1.6</v>
      </c>
      <c r="H1899" s="591"/>
      <c r="I1899" s="598">
        <f t="shared" si="168"/>
        <v>3.55</v>
      </c>
      <c r="J1899" s="598">
        <f t="shared" si="167"/>
        <v>5.68</v>
      </c>
      <c r="K1899" s="581"/>
    </row>
    <row r="1900" spans="1:11">
      <c r="A1900" s="568"/>
      <c r="B1900" s="584" t="s">
        <v>17</v>
      </c>
      <c r="C1900" s="589"/>
      <c r="G1900" s="612"/>
      <c r="H1900" s="591"/>
      <c r="I1900" s="598"/>
      <c r="J1900" s="598"/>
      <c r="K1900" s="581"/>
    </row>
    <row r="1901" spans="1:11">
      <c r="A1901" s="568"/>
      <c r="B1901" s="593" t="s">
        <v>902</v>
      </c>
      <c r="C1901" s="589"/>
      <c r="D1901" s="578">
        <v>1</v>
      </c>
      <c r="E1901" s="579" t="s">
        <v>8</v>
      </c>
      <c r="F1901" s="569">
        <v>-4</v>
      </c>
      <c r="G1901" s="612">
        <v>0.75</v>
      </c>
      <c r="H1901" s="591"/>
      <c r="I1901" s="598">
        <v>2.1</v>
      </c>
      <c r="J1901" s="598">
        <f t="shared" ref="J1901:J1902" si="169">ROUNDUP(PRODUCT(D1901:I1901),2)</f>
        <v>-6.3</v>
      </c>
      <c r="K1901" s="581"/>
    </row>
    <row r="1902" spans="1:11">
      <c r="A1902" s="568"/>
      <c r="B1902" s="593" t="s">
        <v>1190</v>
      </c>
      <c r="C1902" s="589"/>
      <c r="D1902" s="578">
        <v>1</v>
      </c>
      <c r="E1902" s="579" t="s">
        <v>8</v>
      </c>
      <c r="F1902" s="569">
        <v>-2</v>
      </c>
      <c r="G1902" s="612">
        <v>1</v>
      </c>
      <c r="H1902" s="591"/>
      <c r="I1902" s="598">
        <v>2.1</v>
      </c>
      <c r="J1902" s="598">
        <f t="shared" si="169"/>
        <v>-4.2</v>
      </c>
      <c r="K1902" s="581"/>
    </row>
    <row r="1903" spans="1:11">
      <c r="A1903" s="568"/>
      <c r="B1903" s="593"/>
      <c r="C1903" s="577"/>
      <c r="G1903" s="612"/>
      <c r="H1903" s="591"/>
      <c r="I1903" s="598"/>
      <c r="J1903" s="614">
        <f>SUM(J1894:J1902)</f>
        <v>89.259999999999991</v>
      </c>
      <c r="K1903" s="581"/>
    </row>
    <row r="1904" spans="1:11">
      <c r="A1904" s="568"/>
      <c r="B1904" s="622" t="s">
        <v>28</v>
      </c>
      <c r="C1904" s="577"/>
      <c r="G1904" s="612"/>
      <c r="H1904" s="591"/>
      <c r="I1904" s="598"/>
      <c r="J1904" s="605">
        <f>ROUNDUP(J1903,0)</f>
        <v>90</v>
      </c>
      <c r="K1904" s="576" t="s">
        <v>9</v>
      </c>
    </row>
    <row r="1905" spans="1:11">
      <c r="A1905" s="568"/>
      <c r="B1905" s="593"/>
      <c r="C1905" s="577"/>
      <c r="G1905" s="612"/>
      <c r="H1905" s="591"/>
      <c r="I1905" s="598"/>
      <c r="J1905" s="598"/>
      <c r="K1905" s="581"/>
    </row>
    <row r="1906" spans="1:11">
      <c r="A1906" s="568" t="s">
        <v>70</v>
      </c>
      <c r="B1906" s="584" t="s">
        <v>123</v>
      </c>
      <c r="C1906" s="577"/>
      <c r="G1906" s="612"/>
      <c r="H1906" s="591"/>
      <c r="I1906" s="598"/>
      <c r="J1906" s="598"/>
      <c r="K1906" s="581"/>
    </row>
    <row r="1907" spans="1:11">
      <c r="A1907" s="568"/>
      <c r="B1907" s="584" t="s">
        <v>1222</v>
      </c>
      <c r="C1907" s="589"/>
      <c r="G1907" s="612"/>
      <c r="H1907" s="591"/>
      <c r="I1907" s="598"/>
      <c r="J1907" s="598"/>
      <c r="K1907" s="592"/>
    </row>
    <row r="1908" spans="1:11">
      <c r="A1908" s="568"/>
      <c r="B1908" s="593" t="s">
        <v>24</v>
      </c>
      <c r="C1908" s="589"/>
      <c r="D1908" s="578">
        <v>1</v>
      </c>
      <c r="E1908" s="579" t="s">
        <v>8</v>
      </c>
      <c r="F1908" s="569">
        <v>1</v>
      </c>
      <c r="G1908" s="612">
        <v>3.8</v>
      </c>
      <c r="H1908" s="591"/>
      <c r="I1908" s="598">
        <f>3.4-0.45</f>
        <v>2.9499999999999997</v>
      </c>
      <c r="J1908" s="598">
        <f t="shared" ref="J1908:J1916" si="170">ROUNDUP(PRODUCT(D1908:I1908),2)</f>
        <v>11.21</v>
      </c>
      <c r="K1908" s="592"/>
    </row>
    <row r="1909" spans="1:11">
      <c r="A1909" s="568"/>
      <c r="B1909" s="593" t="s">
        <v>1099</v>
      </c>
      <c r="C1909" s="589"/>
      <c r="D1909" s="578">
        <v>1</v>
      </c>
      <c r="E1909" s="579" t="s">
        <v>8</v>
      </c>
      <c r="F1909" s="569">
        <v>1</v>
      </c>
      <c r="G1909" s="612">
        <f>1.9+1.95+0.5+0.6+0.1</f>
        <v>5.0499999999999989</v>
      </c>
      <c r="H1909" s="591"/>
      <c r="I1909" s="598">
        <f t="shared" ref="I1909:I1916" si="171">3.4-0.45</f>
        <v>2.9499999999999997</v>
      </c>
      <c r="J1909" s="598">
        <f t="shared" si="170"/>
        <v>14.9</v>
      </c>
      <c r="K1909" s="592"/>
    </row>
    <row r="1910" spans="1:11">
      <c r="A1910" s="568"/>
      <c r="B1910" s="593" t="s">
        <v>1099</v>
      </c>
      <c r="C1910" s="589"/>
      <c r="D1910" s="578">
        <v>1</v>
      </c>
      <c r="E1910" s="579" t="s">
        <v>8</v>
      </c>
      <c r="F1910" s="569">
        <v>4</v>
      </c>
      <c r="G1910" s="612">
        <f>1.9+1.95+0.1+0.6</f>
        <v>4.55</v>
      </c>
      <c r="H1910" s="591"/>
      <c r="I1910" s="598">
        <f t="shared" si="171"/>
        <v>2.9499999999999997</v>
      </c>
      <c r="J1910" s="598">
        <f t="shared" si="170"/>
        <v>53.69</v>
      </c>
      <c r="K1910" s="592"/>
    </row>
    <row r="1911" spans="1:11">
      <c r="A1911" s="568"/>
      <c r="B1911" s="593" t="s">
        <v>1223</v>
      </c>
      <c r="C1911" s="589"/>
      <c r="D1911" s="578">
        <v>1</v>
      </c>
      <c r="E1911" s="579" t="s">
        <v>8</v>
      </c>
      <c r="F1911" s="569">
        <v>8</v>
      </c>
      <c r="G1911" s="612">
        <f>0.6+0.6</f>
        <v>1.2</v>
      </c>
      <c r="H1911" s="591"/>
      <c r="I1911" s="598">
        <f t="shared" si="171"/>
        <v>2.9499999999999997</v>
      </c>
      <c r="J1911" s="598">
        <f t="shared" si="170"/>
        <v>28.32</v>
      </c>
      <c r="K1911" s="592"/>
    </row>
    <row r="1912" spans="1:11">
      <c r="A1912" s="568"/>
      <c r="B1912" s="593" t="s">
        <v>1224</v>
      </c>
      <c r="C1912" s="589"/>
      <c r="D1912" s="578">
        <v>1</v>
      </c>
      <c r="E1912" s="579" t="s">
        <v>8</v>
      </c>
      <c r="F1912" s="569">
        <v>3</v>
      </c>
      <c r="G1912" s="612">
        <v>1.1499999999999999</v>
      </c>
      <c r="H1912" s="591"/>
      <c r="I1912" s="598">
        <f t="shared" si="171"/>
        <v>2.9499999999999997</v>
      </c>
      <c r="J1912" s="598">
        <f t="shared" si="170"/>
        <v>10.18</v>
      </c>
      <c r="K1912" s="592"/>
    </row>
    <row r="1913" spans="1:11">
      <c r="A1913" s="568"/>
      <c r="B1913" s="593" t="s">
        <v>1224</v>
      </c>
      <c r="C1913" s="589"/>
      <c r="D1913" s="578">
        <v>1</v>
      </c>
      <c r="E1913" s="579" t="s">
        <v>8</v>
      </c>
      <c r="F1913" s="569">
        <v>2</v>
      </c>
      <c r="G1913" s="612">
        <f>1.4+0.1</f>
        <v>1.5</v>
      </c>
      <c r="H1913" s="591"/>
      <c r="I1913" s="598">
        <f t="shared" si="171"/>
        <v>2.9499999999999997</v>
      </c>
      <c r="J1913" s="598">
        <f t="shared" si="170"/>
        <v>8.85</v>
      </c>
      <c r="K1913" s="592"/>
    </row>
    <row r="1914" spans="1:11">
      <c r="A1914" s="568"/>
      <c r="B1914" s="593" t="s">
        <v>1224</v>
      </c>
      <c r="C1914" s="589"/>
      <c r="D1914" s="578">
        <v>1</v>
      </c>
      <c r="E1914" s="579" t="s">
        <v>8</v>
      </c>
      <c r="F1914" s="569">
        <v>1</v>
      </c>
      <c r="G1914" s="612">
        <v>1.5</v>
      </c>
      <c r="H1914" s="591"/>
      <c r="I1914" s="598">
        <f t="shared" si="171"/>
        <v>2.9499999999999997</v>
      </c>
      <c r="J1914" s="598">
        <f t="shared" si="170"/>
        <v>4.43</v>
      </c>
      <c r="K1914" s="592"/>
    </row>
    <row r="1915" spans="1:11">
      <c r="A1915" s="568"/>
      <c r="B1915" s="593" t="s">
        <v>1099</v>
      </c>
      <c r="C1915" s="589"/>
      <c r="D1915" s="578">
        <v>1</v>
      </c>
      <c r="E1915" s="579" t="s">
        <v>8</v>
      </c>
      <c r="F1915" s="569">
        <v>4</v>
      </c>
      <c r="G1915" s="612">
        <f>1.5+0.1</f>
        <v>1.6</v>
      </c>
      <c r="H1915" s="591"/>
      <c r="I1915" s="598">
        <f t="shared" si="171"/>
        <v>2.9499999999999997</v>
      </c>
      <c r="J1915" s="598">
        <f t="shared" si="170"/>
        <v>18.88</v>
      </c>
      <c r="K1915" s="592"/>
    </row>
    <row r="1916" spans="1:11">
      <c r="A1916" s="568"/>
      <c r="B1916" s="593" t="s">
        <v>1099</v>
      </c>
      <c r="C1916" s="589"/>
      <c r="D1916" s="578">
        <v>1</v>
      </c>
      <c r="E1916" s="579" t="s">
        <v>8</v>
      </c>
      <c r="F1916" s="569">
        <v>4</v>
      </c>
      <c r="G1916" s="612">
        <v>1.25</v>
      </c>
      <c r="H1916" s="591"/>
      <c r="I1916" s="598">
        <f t="shared" si="171"/>
        <v>2.9499999999999997</v>
      </c>
      <c r="J1916" s="598">
        <f t="shared" si="170"/>
        <v>14.75</v>
      </c>
      <c r="K1916" s="592"/>
    </row>
    <row r="1917" spans="1:11">
      <c r="A1917" s="568"/>
      <c r="B1917" s="584" t="s">
        <v>17</v>
      </c>
      <c r="C1917" s="589"/>
      <c r="G1917" s="612"/>
      <c r="H1917" s="591"/>
      <c r="I1917" s="598"/>
      <c r="J1917" s="598"/>
      <c r="K1917" s="592"/>
    </row>
    <row r="1918" spans="1:11">
      <c r="A1918" s="568"/>
      <c r="B1918" s="593" t="s">
        <v>902</v>
      </c>
      <c r="C1918" s="589"/>
      <c r="D1918" s="578">
        <v>1</v>
      </c>
      <c r="E1918" s="579" t="s">
        <v>8</v>
      </c>
      <c r="F1918" s="569">
        <v>-14</v>
      </c>
      <c r="G1918" s="612">
        <v>0.75</v>
      </c>
      <c r="H1918" s="591"/>
      <c r="I1918" s="598">
        <v>2.15</v>
      </c>
      <c r="J1918" s="598">
        <f>ROUNDUP(PRODUCT(D1918:I1918),2)</f>
        <v>-22.580000000000002</v>
      </c>
      <c r="K1918" s="592"/>
    </row>
    <row r="1919" spans="1:11">
      <c r="A1919" s="568"/>
      <c r="B1919" s="593"/>
      <c r="C1919" s="577"/>
      <c r="G1919" s="612"/>
      <c r="H1919" s="591"/>
      <c r="I1919" s="598"/>
      <c r="J1919" s="614">
        <f>SUM(J1908:J1918)</f>
        <v>142.63</v>
      </c>
      <c r="K1919" s="581"/>
    </row>
    <row r="1920" spans="1:11">
      <c r="A1920" s="568"/>
      <c r="B1920" s="622" t="s">
        <v>28</v>
      </c>
      <c r="C1920" s="577"/>
      <c r="G1920" s="612"/>
      <c r="H1920" s="591"/>
      <c r="I1920" s="598"/>
      <c r="J1920" s="605">
        <f>ROUNDUP(J1919,0)</f>
        <v>143</v>
      </c>
      <c r="K1920" s="576" t="s">
        <v>9</v>
      </c>
    </row>
    <row r="1921" spans="1:11">
      <c r="A1921" s="568"/>
      <c r="B1921" s="593"/>
      <c r="C1921" s="577"/>
      <c r="G1921" s="612"/>
      <c r="H1921" s="591"/>
      <c r="I1921" s="598"/>
      <c r="J1921" s="598"/>
      <c r="K1921" s="581"/>
    </row>
    <row r="1922" spans="1:11">
      <c r="A1922" s="568" t="s">
        <v>69</v>
      </c>
      <c r="B1922" s="584" t="s">
        <v>122</v>
      </c>
      <c r="C1922" s="577"/>
      <c r="G1922" s="612"/>
      <c r="H1922" s="591"/>
      <c r="I1922" s="598"/>
      <c r="J1922" s="598"/>
      <c r="K1922" s="581"/>
    </row>
    <row r="1923" spans="1:11">
      <c r="A1923" s="568"/>
      <c r="B1923" s="593" t="s">
        <v>588</v>
      </c>
      <c r="C1923" s="577"/>
      <c r="G1923" s="612"/>
      <c r="H1923" s="591"/>
      <c r="I1923" s="598"/>
      <c r="J1923" s="605">
        <f>ROUNDUP(J1920,0)</f>
        <v>143</v>
      </c>
      <c r="K1923" s="576" t="s">
        <v>9</v>
      </c>
    </row>
    <row r="1924" spans="1:11">
      <c r="A1924" s="568"/>
      <c r="B1924" s="593"/>
      <c r="C1924" s="577"/>
      <c r="G1924" s="612"/>
      <c r="H1924" s="591"/>
      <c r="I1924" s="598"/>
      <c r="J1924" s="598"/>
      <c r="K1924" s="581"/>
    </row>
    <row r="1925" spans="1:11">
      <c r="A1925" s="568" t="s">
        <v>68</v>
      </c>
      <c r="B1925" s="584" t="s">
        <v>553</v>
      </c>
      <c r="C1925" s="577"/>
      <c r="G1925" s="612"/>
      <c r="H1925" s="591"/>
      <c r="I1925" s="598"/>
      <c r="J1925" s="598"/>
      <c r="K1925" s="581"/>
    </row>
    <row r="1926" spans="1:11" ht="36">
      <c r="A1926" s="568"/>
      <c r="B1926" s="593" t="s">
        <v>589</v>
      </c>
      <c r="C1926" s="589"/>
      <c r="G1926" s="612"/>
      <c r="H1926" s="591"/>
      <c r="I1926" s="598"/>
      <c r="J1926" s="605">
        <f>ROUNDUP(J1923,0)</f>
        <v>143</v>
      </c>
      <c r="K1926" s="576" t="s">
        <v>9</v>
      </c>
    </row>
    <row r="1927" spans="1:11">
      <c r="A1927" s="568" t="s">
        <v>67</v>
      </c>
      <c r="B1927" s="584" t="str">
        <f>'BOQ-C&amp;I'!C83</f>
        <v>Terrace Floor</v>
      </c>
      <c r="C1927" s="589"/>
      <c r="G1927" s="612"/>
      <c r="H1927" s="591"/>
      <c r="I1927" s="598"/>
      <c r="J1927" s="598"/>
      <c r="K1927" s="592"/>
    </row>
    <row r="1928" spans="1:11">
      <c r="A1928" s="568"/>
      <c r="B1928" s="593" t="s">
        <v>506</v>
      </c>
      <c r="C1928" s="589"/>
      <c r="D1928" s="578">
        <v>1</v>
      </c>
      <c r="E1928" s="579" t="s">
        <v>8</v>
      </c>
      <c r="F1928" s="569">
        <v>1</v>
      </c>
      <c r="G1928" s="725">
        <v>10</v>
      </c>
      <c r="H1928" s="726"/>
      <c r="I1928" s="591"/>
      <c r="J1928" s="605">
        <f>PRODUCT(D1928:I1928)</f>
        <v>10</v>
      </c>
      <c r="K1928" s="592" t="s">
        <v>9</v>
      </c>
    </row>
    <row r="1929" spans="1:11" ht="36" customHeight="1">
      <c r="A1929" s="568" t="s">
        <v>692</v>
      </c>
      <c r="B1929" s="657" t="str">
        <f>'BOQ-C&amp;I'!C84</f>
        <v>For 600mm x 150mmx 200mm thick AAC block wall - CM 1:5</v>
      </c>
      <c r="C1929" s="581"/>
      <c r="G1929" s="598"/>
      <c r="H1929" s="591"/>
      <c r="I1929" s="598"/>
      <c r="J1929" s="658"/>
      <c r="K1929" s="576"/>
    </row>
    <row r="1930" spans="1:11">
      <c r="A1930" s="568" t="s">
        <v>71</v>
      </c>
      <c r="B1930" s="584" t="str">
        <f>'BOQ-C&amp;I'!C85</f>
        <v>Ground Floor</v>
      </c>
      <c r="C1930" s="589"/>
      <c r="G1930" s="659"/>
      <c r="H1930" s="590"/>
      <c r="I1930" s="598"/>
      <c r="J1930" s="658"/>
      <c r="K1930" s="576"/>
    </row>
    <row r="1931" spans="1:11">
      <c r="A1931" s="568"/>
      <c r="B1931" s="593" t="s">
        <v>506</v>
      </c>
      <c r="C1931" s="589"/>
      <c r="D1931" s="578">
        <v>1</v>
      </c>
      <c r="E1931" s="579" t="s">
        <v>8</v>
      </c>
      <c r="F1931" s="569">
        <v>1</v>
      </c>
      <c r="G1931" s="725">
        <v>10</v>
      </c>
      <c r="H1931" s="726"/>
      <c r="I1931" s="591"/>
      <c r="J1931" s="605">
        <f>PRODUCT(D1931:I1931)</f>
        <v>10</v>
      </c>
      <c r="K1931" s="592" t="s">
        <v>9</v>
      </c>
    </row>
    <row r="1932" spans="1:11">
      <c r="A1932" s="568" t="s">
        <v>70</v>
      </c>
      <c r="B1932" s="584" t="str">
        <f>'BOQ-C&amp;I'!C86</f>
        <v>First Floor</v>
      </c>
      <c r="C1932" s="589"/>
      <c r="G1932" s="659"/>
      <c r="H1932" s="590"/>
      <c r="I1932" s="598"/>
      <c r="J1932" s="658"/>
      <c r="K1932" s="576"/>
    </row>
    <row r="1933" spans="1:11">
      <c r="A1933" s="568"/>
      <c r="B1933" s="593" t="s">
        <v>506</v>
      </c>
      <c r="C1933" s="589"/>
      <c r="D1933" s="578">
        <v>1</v>
      </c>
      <c r="E1933" s="579" t="s">
        <v>8</v>
      </c>
      <c r="F1933" s="569">
        <v>1</v>
      </c>
      <c r="G1933" s="725">
        <v>10</v>
      </c>
      <c r="H1933" s="726"/>
      <c r="I1933" s="591"/>
      <c r="J1933" s="605">
        <f>PRODUCT(D1933:I1933)</f>
        <v>10</v>
      </c>
      <c r="K1933" s="592" t="s">
        <v>9</v>
      </c>
    </row>
    <row r="1934" spans="1:11">
      <c r="A1934" s="568" t="s">
        <v>69</v>
      </c>
      <c r="B1934" s="657" t="str">
        <f>'BOQ-C&amp;I'!C87</f>
        <v>Second Floor</v>
      </c>
      <c r="C1934" s="589"/>
      <c r="G1934" s="659"/>
      <c r="H1934" s="590"/>
      <c r="I1934" s="598"/>
      <c r="J1934" s="658"/>
      <c r="K1934" s="576"/>
    </row>
    <row r="1935" spans="1:11">
      <c r="A1935" s="568"/>
      <c r="B1935" s="593" t="s">
        <v>506</v>
      </c>
      <c r="C1935" s="589"/>
      <c r="D1935" s="578">
        <v>1</v>
      </c>
      <c r="E1935" s="579" t="s">
        <v>8</v>
      </c>
      <c r="F1935" s="569">
        <v>1</v>
      </c>
      <c r="G1935" s="725">
        <v>10</v>
      </c>
      <c r="H1935" s="726"/>
      <c r="I1935" s="591"/>
      <c r="J1935" s="605">
        <f>PRODUCT(D1935:I1935)</f>
        <v>10</v>
      </c>
      <c r="K1935" s="592" t="s">
        <v>9</v>
      </c>
    </row>
    <row r="1936" spans="1:11">
      <c r="A1936" s="568" t="s">
        <v>68</v>
      </c>
      <c r="B1936" s="657" t="str">
        <f>'BOQ-C&amp;I'!C88</f>
        <v>Third Floor</v>
      </c>
      <c r="C1936" s="589"/>
      <c r="G1936" s="659"/>
      <c r="H1936" s="590"/>
      <c r="I1936" s="598"/>
      <c r="J1936" s="658"/>
      <c r="K1936" s="576"/>
    </row>
    <row r="1937" spans="1:11">
      <c r="A1937" s="568"/>
      <c r="B1937" s="593" t="s">
        <v>506</v>
      </c>
      <c r="C1937" s="589"/>
      <c r="D1937" s="578">
        <v>1</v>
      </c>
      <c r="E1937" s="579" t="s">
        <v>8</v>
      </c>
      <c r="F1937" s="569">
        <v>1</v>
      </c>
      <c r="G1937" s="725">
        <v>10</v>
      </c>
      <c r="H1937" s="726"/>
      <c r="I1937" s="591"/>
      <c r="J1937" s="605">
        <f>PRODUCT(D1937:I1937)</f>
        <v>10</v>
      </c>
      <c r="K1937" s="592" t="s">
        <v>9</v>
      </c>
    </row>
    <row r="1938" spans="1:11">
      <c r="A1938" s="568" t="s">
        <v>67</v>
      </c>
      <c r="B1938" s="657" t="str">
        <f>'BOQ-C&amp;I'!C89</f>
        <v>Terrace Floor</v>
      </c>
      <c r="C1938" s="589"/>
      <c r="G1938" s="659"/>
      <c r="H1938" s="590"/>
      <c r="I1938" s="598"/>
      <c r="J1938" s="658"/>
      <c r="K1938" s="576"/>
    </row>
    <row r="1939" spans="1:11">
      <c r="A1939" s="568"/>
      <c r="B1939" s="593" t="s">
        <v>506</v>
      </c>
      <c r="C1939" s="589"/>
      <c r="D1939" s="578">
        <v>1</v>
      </c>
      <c r="E1939" s="579" t="s">
        <v>8</v>
      </c>
      <c r="F1939" s="569">
        <v>1</v>
      </c>
      <c r="G1939" s="725">
        <v>10</v>
      </c>
      <c r="H1939" s="726"/>
      <c r="I1939" s="591"/>
      <c r="J1939" s="605">
        <f>PRODUCT(D1939:I1939)</f>
        <v>10</v>
      </c>
      <c r="K1939" s="592" t="s">
        <v>9</v>
      </c>
    </row>
    <row r="1940" spans="1:11" ht="72" customHeight="1">
      <c r="A1940" s="568">
        <f>A1756+1</f>
        <v>15</v>
      </c>
      <c r="B1940" s="712" t="str">
        <f>'BOQ-C&amp;I'!C90</f>
        <v>Providing and constructing of brick work in Cement Mortar 1:5 (One Cement and Five M.sand) using best quality of Second Class Ground Moulded Chamber Burnt Bricks 9" x 41/2" x 3" with minimum compressive strength of 35 Kg per Sqcm for foundation and all floors including curing etc, Complete  complying with standard specifications and as directed by the departmental officers.</v>
      </c>
      <c r="C1940" s="713"/>
      <c r="D1940" s="713"/>
      <c r="E1940" s="713"/>
      <c r="F1940" s="713"/>
      <c r="G1940" s="713"/>
      <c r="H1940" s="713"/>
      <c r="I1940" s="713"/>
      <c r="J1940" s="713"/>
      <c r="K1940" s="714"/>
    </row>
    <row r="1941" spans="1:11">
      <c r="A1941" s="568" t="s">
        <v>71</v>
      </c>
      <c r="B1941" s="584" t="str">
        <f>'BOQ-C&amp;I'!C91</f>
        <v>Ground Floor</v>
      </c>
      <c r="C1941" s="589"/>
      <c r="G1941" s="612"/>
      <c r="H1941" s="591"/>
      <c r="I1941" s="598"/>
      <c r="J1941" s="598"/>
      <c r="K1941" s="592"/>
    </row>
    <row r="1942" spans="1:11">
      <c r="A1942" s="568"/>
      <c r="B1942" s="593" t="s">
        <v>506</v>
      </c>
      <c r="C1942" s="589"/>
      <c r="D1942" s="578">
        <v>1</v>
      </c>
      <c r="E1942" s="579" t="s">
        <v>8</v>
      </c>
      <c r="F1942" s="569">
        <v>1</v>
      </c>
      <c r="G1942" s="725">
        <v>10</v>
      </c>
      <c r="H1942" s="726"/>
      <c r="I1942" s="591"/>
      <c r="J1942" s="605">
        <f>PRODUCT(D1942:I1942)</f>
        <v>10</v>
      </c>
      <c r="K1942" s="576" t="s">
        <v>52</v>
      </c>
    </row>
    <row r="1943" spans="1:11">
      <c r="A1943" s="568" t="s">
        <v>70</v>
      </c>
      <c r="B1943" s="584" t="str">
        <f>'BOQ-C&amp;I'!C92</f>
        <v>First Floor</v>
      </c>
      <c r="C1943" s="589"/>
      <c r="G1943" s="612"/>
      <c r="H1943" s="591"/>
      <c r="I1943" s="598"/>
      <c r="J1943" s="598"/>
      <c r="K1943" s="592"/>
    </row>
    <row r="1944" spans="1:11">
      <c r="A1944" s="568"/>
      <c r="B1944" s="593" t="s">
        <v>506</v>
      </c>
      <c r="C1944" s="589"/>
      <c r="D1944" s="578">
        <v>1</v>
      </c>
      <c r="E1944" s="579" t="s">
        <v>8</v>
      </c>
      <c r="F1944" s="569">
        <v>1</v>
      </c>
      <c r="G1944" s="725">
        <v>10</v>
      </c>
      <c r="H1944" s="726"/>
      <c r="I1944" s="591"/>
      <c r="J1944" s="605">
        <f>PRODUCT(D1944:I1944)</f>
        <v>10</v>
      </c>
      <c r="K1944" s="576" t="s">
        <v>52</v>
      </c>
    </row>
    <row r="1945" spans="1:11">
      <c r="A1945" s="568" t="s">
        <v>69</v>
      </c>
      <c r="B1945" s="657" t="str">
        <f>'BOQ-C&amp;I'!C93</f>
        <v>Second Floor</v>
      </c>
      <c r="C1945" s="589"/>
      <c r="G1945" s="612"/>
      <c r="H1945" s="591"/>
      <c r="I1945" s="598"/>
      <c r="J1945" s="605"/>
      <c r="K1945" s="576"/>
    </row>
    <row r="1946" spans="1:11">
      <c r="A1946" s="568"/>
      <c r="B1946" s="593" t="s">
        <v>506</v>
      </c>
      <c r="C1946" s="589"/>
      <c r="D1946" s="578">
        <v>1</v>
      </c>
      <c r="E1946" s="579" t="s">
        <v>8</v>
      </c>
      <c r="F1946" s="569">
        <v>1</v>
      </c>
      <c r="G1946" s="725">
        <v>10</v>
      </c>
      <c r="H1946" s="726"/>
      <c r="I1946" s="591"/>
      <c r="J1946" s="605">
        <f>PRODUCT(D1946:I1946)</f>
        <v>10</v>
      </c>
      <c r="K1946" s="576" t="s">
        <v>52</v>
      </c>
    </row>
    <row r="1947" spans="1:11">
      <c r="A1947" s="568" t="s">
        <v>68</v>
      </c>
      <c r="B1947" s="584" t="str">
        <f>'BOQ-C&amp;I'!C94</f>
        <v>Third Floor</v>
      </c>
      <c r="C1947" s="589"/>
      <c r="G1947" s="612"/>
      <c r="H1947" s="591"/>
      <c r="I1947" s="598"/>
      <c r="J1947" s="605"/>
      <c r="K1947" s="576"/>
    </row>
    <row r="1948" spans="1:11">
      <c r="A1948" s="568"/>
      <c r="B1948" s="593" t="s">
        <v>506</v>
      </c>
      <c r="C1948" s="589"/>
      <c r="D1948" s="578">
        <v>1</v>
      </c>
      <c r="E1948" s="579" t="s">
        <v>8</v>
      </c>
      <c r="F1948" s="569">
        <v>1</v>
      </c>
      <c r="G1948" s="725">
        <v>10</v>
      </c>
      <c r="H1948" s="726"/>
      <c r="I1948" s="591"/>
      <c r="J1948" s="605">
        <f>PRODUCT(D1948:I1948)</f>
        <v>10</v>
      </c>
      <c r="K1948" s="576" t="s">
        <v>52</v>
      </c>
    </row>
    <row r="1949" spans="1:11">
      <c r="A1949" s="568" t="s">
        <v>67</v>
      </c>
      <c r="B1949" s="654" t="str">
        <f>'BOQ-C&amp;I'!C95</f>
        <v>Terrace Floor</v>
      </c>
      <c r="C1949" s="660"/>
      <c r="D1949" s="579"/>
      <c r="F1949" s="579"/>
      <c r="G1949" s="653"/>
      <c r="H1949" s="653"/>
      <c r="I1949" s="636"/>
      <c r="J1949" s="661"/>
      <c r="K1949" s="662"/>
    </row>
    <row r="1950" spans="1:11">
      <c r="A1950" s="568"/>
      <c r="B1950" s="593" t="s">
        <v>506</v>
      </c>
      <c r="C1950" s="589"/>
      <c r="D1950" s="578">
        <v>1</v>
      </c>
      <c r="E1950" s="579" t="s">
        <v>8</v>
      </c>
      <c r="F1950" s="569">
        <v>1</v>
      </c>
      <c r="G1950" s="725">
        <v>10</v>
      </c>
      <c r="H1950" s="726"/>
      <c r="I1950" s="591"/>
      <c r="J1950" s="605">
        <f>PRODUCT(D1950:I1950)</f>
        <v>10</v>
      </c>
      <c r="K1950" s="576" t="s">
        <v>52</v>
      </c>
    </row>
    <row r="1951" spans="1:11" ht="79.5" customHeight="1">
      <c r="A1951" s="568">
        <f>A1940+1</f>
        <v>16</v>
      </c>
      <c r="B1951" s="712" t="str">
        <f>'BOQ-C&amp;I'!C96</f>
        <v>Providing and constructing of 115 mm thick brick partition walls in Cement Mortar 1:3 (One Cement and Three M.Sand) using best quality Second Class Ground Moulded Chamber Burnt bricks of size 9" x 4 1/2"x 3" with hoop iron reinforcement if found necessary including curing etc., Complete complying with standard specifications and as directed by the departmental officers.</v>
      </c>
      <c r="C1951" s="713"/>
      <c r="D1951" s="713"/>
      <c r="E1951" s="713"/>
      <c r="F1951" s="713"/>
      <c r="G1951" s="713"/>
      <c r="H1951" s="713"/>
      <c r="I1951" s="713"/>
      <c r="J1951" s="713"/>
      <c r="K1951" s="714"/>
    </row>
    <row r="1952" spans="1:11">
      <c r="A1952" s="568"/>
      <c r="B1952" s="593"/>
      <c r="C1952" s="589"/>
      <c r="G1952" s="653"/>
      <c r="H1952" s="624"/>
      <c r="I1952" s="591"/>
      <c r="J1952" s="605"/>
      <c r="K1952" s="592"/>
    </row>
    <row r="1953" spans="1:11">
      <c r="A1953" s="568" t="s">
        <v>71</v>
      </c>
      <c r="B1953" s="584" t="str">
        <f>'BOQ-C&amp;I'!C97</f>
        <v>Ground Floor</v>
      </c>
      <c r="C1953" s="589"/>
      <c r="G1953" s="612"/>
      <c r="H1953" s="591"/>
      <c r="I1953" s="598"/>
      <c r="J1953" s="598"/>
      <c r="K1953" s="592"/>
    </row>
    <row r="1954" spans="1:11">
      <c r="A1954" s="568"/>
      <c r="B1954" s="593" t="s">
        <v>506</v>
      </c>
      <c r="C1954" s="589"/>
      <c r="D1954" s="578">
        <v>1</v>
      </c>
      <c r="E1954" s="579" t="s">
        <v>8</v>
      </c>
      <c r="F1954" s="569">
        <v>1</v>
      </c>
      <c r="G1954" s="725">
        <v>10</v>
      </c>
      <c r="H1954" s="726"/>
      <c r="I1954" s="591"/>
      <c r="J1954" s="605">
        <f>PRODUCT(D1954:I1954)</f>
        <v>10</v>
      </c>
      <c r="K1954" s="576" t="s">
        <v>9</v>
      </c>
    </row>
    <row r="1955" spans="1:11">
      <c r="A1955" s="568" t="s">
        <v>70</v>
      </c>
      <c r="B1955" s="584" t="str">
        <f>'BOQ-C&amp;I'!C98</f>
        <v>First Floor</v>
      </c>
      <c r="C1955" s="589"/>
      <c r="G1955" s="612"/>
      <c r="H1955" s="591"/>
      <c r="I1955" s="598"/>
      <c r="J1955" s="598"/>
      <c r="K1955" s="592"/>
    </row>
    <row r="1956" spans="1:11">
      <c r="A1956" s="568"/>
      <c r="B1956" s="593" t="s">
        <v>506</v>
      </c>
      <c r="C1956" s="589"/>
      <c r="D1956" s="578">
        <v>1</v>
      </c>
      <c r="E1956" s="579" t="s">
        <v>8</v>
      </c>
      <c r="F1956" s="569">
        <v>1</v>
      </c>
      <c r="G1956" s="725">
        <v>10</v>
      </c>
      <c r="H1956" s="726"/>
      <c r="I1956" s="591"/>
      <c r="J1956" s="605">
        <f>PRODUCT(D1956:I1956)</f>
        <v>10</v>
      </c>
      <c r="K1956" s="576" t="s">
        <v>9</v>
      </c>
    </row>
    <row r="1957" spans="1:11">
      <c r="A1957" s="568" t="s">
        <v>69</v>
      </c>
      <c r="B1957" s="657" t="str">
        <f>'BOQ-C&amp;I'!C99</f>
        <v>Second Floor</v>
      </c>
      <c r="C1957" s="589"/>
      <c r="G1957" s="612"/>
      <c r="H1957" s="591"/>
      <c r="I1957" s="598"/>
      <c r="J1957" s="605"/>
      <c r="K1957" s="576"/>
    </row>
    <row r="1958" spans="1:11">
      <c r="A1958" s="568"/>
      <c r="B1958" s="593" t="s">
        <v>506</v>
      </c>
      <c r="C1958" s="589"/>
      <c r="D1958" s="578">
        <v>1</v>
      </c>
      <c r="E1958" s="579" t="s">
        <v>8</v>
      </c>
      <c r="F1958" s="569">
        <v>1</v>
      </c>
      <c r="G1958" s="725">
        <v>10</v>
      </c>
      <c r="H1958" s="726"/>
      <c r="I1958" s="591"/>
      <c r="J1958" s="605">
        <f>PRODUCT(D1958:I1958)</f>
        <v>10</v>
      </c>
      <c r="K1958" s="576" t="s">
        <v>9</v>
      </c>
    </row>
    <row r="1959" spans="1:11">
      <c r="A1959" s="568" t="s">
        <v>68</v>
      </c>
      <c r="B1959" s="584" t="str">
        <f>'BOQ-C&amp;I'!C100</f>
        <v>Third Floor</v>
      </c>
      <c r="C1959" s="589"/>
      <c r="G1959" s="612"/>
      <c r="H1959" s="591"/>
      <c r="I1959" s="598"/>
      <c r="J1959" s="605"/>
      <c r="K1959" s="576"/>
    </row>
    <row r="1960" spans="1:11">
      <c r="A1960" s="568"/>
      <c r="B1960" s="593" t="s">
        <v>506</v>
      </c>
      <c r="C1960" s="589"/>
      <c r="D1960" s="578">
        <v>1</v>
      </c>
      <c r="E1960" s="579" t="s">
        <v>8</v>
      </c>
      <c r="F1960" s="569">
        <v>1</v>
      </c>
      <c r="G1960" s="725">
        <v>10</v>
      </c>
      <c r="H1960" s="726"/>
      <c r="I1960" s="591"/>
      <c r="J1960" s="605">
        <f>PRODUCT(D1960:I1960)</f>
        <v>10</v>
      </c>
      <c r="K1960" s="576" t="s">
        <v>9</v>
      </c>
    </row>
    <row r="1961" spans="1:11">
      <c r="A1961" s="568" t="s">
        <v>67</v>
      </c>
      <c r="B1961" s="584" t="str">
        <f>'BOQ-C&amp;I'!C101</f>
        <v>Terrace Floor</v>
      </c>
      <c r="C1961" s="589"/>
      <c r="G1961" s="612"/>
      <c r="H1961" s="591"/>
      <c r="I1961" s="598"/>
      <c r="J1961" s="605"/>
      <c r="K1961" s="576"/>
    </row>
    <row r="1962" spans="1:11">
      <c r="A1962" s="568"/>
      <c r="B1962" s="593" t="s">
        <v>506</v>
      </c>
      <c r="C1962" s="589"/>
      <c r="D1962" s="578">
        <v>1</v>
      </c>
      <c r="E1962" s="579" t="s">
        <v>8</v>
      </c>
      <c r="F1962" s="569">
        <v>1</v>
      </c>
      <c r="G1962" s="725">
        <v>10</v>
      </c>
      <c r="H1962" s="726"/>
      <c r="I1962" s="591"/>
      <c r="J1962" s="605">
        <f>PRODUCT(D1962:I1962)</f>
        <v>10</v>
      </c>
      <c r="K1962" s="576" t="s">
        <v>9</v>
      </c>
    </row>
    <row r="1963" spans="1:11">
      <c r="A1963" s="568"/>
      <c r="B1963" s="593"/>
      <c r="C1963" s="589"/>
      <c r="G1963" s="653"/>
      <c r="H1963" s="624"/>
      <c r="I1963" s="591"/>
      <c r="J1963" s="605"/>
      <c r="K1963" s="576"/>
    </row>
    <row r="1964" spans="1:11">
      <c r="A1964" s="568"/>
      <c r="B1964" s="584" t="str">
        <f>'BOQ-C&amp;I'!C104</f>
        <v xml:space="preserve">JOINERY WORKS </v>
      </c>
      <c r="C1964" s="577"/>
      <c r="G1964" s="612"/>
      <c r="H1964" s="598"/>
      <c r="I1964" s="598"/>
      <c r="J1964" s="598"/>
      <c r="K1964" s="581"/>
    </row>
    <row r="1965" spans="1:11" ht="178.9" customHeight="1">
      <c r="A1965" s="568">
        <f>A1951+1</f>
        <v>17</v>
      </c>
      <c r="B1965" s="723" t="str">
        <f>'BOQ-C&amp;I'!C105</f>
        <v>Providing and fixing of  well seasoned, best available Country , vengai  wood frame or equalant  for doors, windows, ventilators and any other similar joinery works of approved size and as per drawing detail. All exposed wooden surfaces are duly finished with melamine polish after sanding &amp; filler the surface to get a smooth finish of required level. The rate shall be inclusive of making necessary design as per drawing, in the frame and necessary hold fastener and hardware ect, The rate shall be inclusive of supply and fixing of 6 nos MS flat iron holdfast for each door of size 40mmx3mm and 40CM long fixing with CC 1:2:4 and 75mm long 10mm dia anchor fastener to RCC location where ever required. Finishes shall made at Factory only installation at site as complete with all respects complying with relevant standard specification, as directed by the departmental officers</v>
      </c>
      <c r="C1965" s="723"/>
      <c r="D1965" s="723"/>
      <c r="E1965" s="723"/>
      <c r="F1965" s="723"/>
      <c r="G1965" s="723"/>
      <c r="H1965" s="723"/>
      <c r="I1965" s="723"/>
      <c r="J1965" s="723"/>
      <c r="K1965" s="723"/>
    </row>
    <row r="1966" spans="1:11">
      <c r="A1966" s="568"/>
      <c r="B1966" s="584" t="s">
        <v>788</v>
      </c>
      <c r="C1966" s="577"/>
      <c r="G1966" s="612"/>
      <c r="H1966" s="598"/>
      <c r="I1966" s="598"/>
      <c r="J1966" s="598"/>
      <c r="K1966" s="581"/>
    </row>
    <row r="1967" spans="1:11">
      <c r="A1967" s="568"/>
      <c r="B1967" s="593" t="s">
        <v>1470</v>
      </c>
      <c r="C1967" s="655" t="s">
        <v>536</v>
      </c>
      <c r="D1967" s="578">
        <v>1</v>
      </c>
      <c r="E1967" s="579" t="s">
        <v>8</v>
      </c>
      <c r="F1967" s="663">
        <v>2</v>
      </c>
      <c r="G1967" s="612">
        <f>1+2.15+2.15</f>
        <v>5.3</v>
      </c>
      <c r="H1967" s="598">
        <v>0.1</v>
      </c>
      <c r="I1967" s="598">
        <v>7.4999999999999997E-2</v>
      </c>
      <c r="J1967" s="598">
        <f t="shared" ref="J1967" si="172">ROUNDUP(PRODUCT(D1967:I1967),2)</f>
        <v>0.08</v>
      </c>
      <c r="K1967" s="581"/>
    </row>
    <row r="1968" spans="1:11">
      <c r="A1968" s="568"/>
      <c r="B1968" s="593" t="s">
        <v>1472</v>
      </c>
      <c r="C1968" s="655" t="s">
        <v>536</v>
      </c>
      <c r="D1968" s="578">
        <v>1</v>
      </c>
      <c r="E1968" s="579" t="s">
        <v>8</v>
      </c>
      <c r="F1968" s="663">
        <v>2</v>
      </c>
      <c r="G1968" s="612">
        <f t="shared" ref="G1968:G1969" si="173">1+2.15+2.15</f>
        <v>5.3</v>
      </c>
      <c r="H1968" s="598">
        <v>0.1</v>
      </c>
      <c r="I1968" s="598">
        <v>7.4999999999999997E-2</v>
      </c>
      <c r="J1968" s="598">
        <f>ROUNDUP(PRODUCT(D1968:I1968),2)</f>
        <v>0.08</v>
      </c>
      <c r="K1968" s="581"/>
    </row>
    <row r="1969" spans="1:11">
      <c r="A1969" s="568"/>
      <c r="B1969" s="593" t="s">
        <v>1473</v>
      </c>
      <c r="C1969" s="655" t="s">
        <v>536</v>
      </c>
      <c r="D1969" s="578">
        <v>1</v>
      </c>
      <c r="E1969" s="579" t="s">
        <v>8</v>
      </c>
      <c r="F1969" s="663">
        <v>4</v>
      </c>
      <c r="G1969" s="612">
        <f t="shared" si="173"/>
        <v>5.3</v>
      </c>
      <c r="H1969" s="598">
        <v>0.1</v>
      </c>
      <c r="I1969" s="598">
        <v>7.4999999999999997E-2</v>
      </c>
      <c r="J1969" s="598">
        <f>ROUNDUP(PRODUCT(D1969:I1969),2)</f>
        <v>0.16</v>
      </c>
      <c r="K1969" s="581"/>
    </row>
    <row r="1970" spans="1:11">
      <c r="A1970" s="568"/>
      <c r="B1970" s="593" t="s">
        <v>1471</v>
      </c>
      <c r="C1970" s="655" t="s">
        <v>536</v>
      </c>
      <c r="D1970" s="578">
        <v>1</v>
      </c>
      <c r="E1970" s="579" t="s">
        <v>8</v>
      </c>
      <c r="F1970" s="663">
        <v>3</v>
      </c>
      <c r="G1970" s="612">
        <f>0.9+2.15+2.15</f>
        <v>5.1999999999999993</v>
      </c>
      <c r="H1970" s="598">
        <v>0.1</v>
      </c>
      <c r="I1970" s="598">
        <v>7.4999999999999997E-2</v>
      </c>
      <c r="J1970" s="598">
        <f t="shared" ref="J1970:J1972" si="174">ROUNDUP(PRODUCT(D1970:I1970),2)</f>
        <v>0.12</v>
      </c>
      <c r="K1970" s="581"/>
    </row>
    <row r="1971" spans="1:11">
      <c r="A1971" s="568"/>
      <c r="B1971" s="593" t="s">
        <v>1471</v>
      </c>
      <c r="C1971" s="577" t="s">
        <v>1646</v>
      </c>
      <c r="D1971" s="578">
        <v>3</v>
      </c>
      <c r="E1971" s="579" t="s">
        <v>8</v>
      </c>
      <c r="F1971" s="663">
        <v>13</v>
      </c>
      <c r="G1971" s="612">
        <f>0.9+2.15+2.15</f>
        <v>5.1999999999999993</v>
      </c>
      <c r="H1971" s="598">
        <v>0.1</v>
      </c>
      <c r="I1971" s="598">
        <v>7.4999999999999997E-2</v>
      </c>
      <c r="J1971" s="598">
        <f t="shared" si="174"/>
        <v>1.53</v>
      </c>
      <c r="K1971" s="581"/>
    </row>
    <row r="1972" spans="1:11">
      <c r="A1972" s="568"/>
      <c r="B1972" s="593" t="s">
        <v>1474</v>
      </c>
      <c r="C1972" s="655" t="s">
        <v>536</v>
      </c>
      <c r="D1972" s="578">
        <v>1</v>
      </c>
      <c r="E1972" s="579" t="s">
        <v>8</v>
      </c>
      <c r="F1972" s="663">
        <v>3</v>
      </c>
      <c r="G1972" s="612">
        <f>0.9+2.15+2.15</f>
        <v>5.1999999999999993</v>
      </c>
      <c r="H1972" s="598">
        <v>0.1</v>
      </c>
      <c r="I1972" s="598">
        <v>7.4999999999999997E-2</v>
      </c>
      <c r="J1972" s="598">
        <f t="shared" si="174"/>
        <v>0.12</v>
      </c>
      <c r="K1972" s="581"/>
    </row>
    <row r="1973" spans="1:11">
      <c r="A1973" s="568"/>
      <c r="B1973" s="593" t="s">
        <v>1475</v>
      </c>
      <c r="C1973" s="655" t="s">
        <v>536</v>
      </c>
      <c r="D1973" s="578">
        <v>1</v>
      </c>
      <c r="E1973" s="579" t="s">
        <v>8</v>
      </c>
      <c r="F1973" s="663">
        <v>6</v>
      </c>
      <c r="G1973" s="612">
        <f>0.75+2.15+2.15</f>
        <v>5.05</v>
      </c>
      <c r="H1973" s="598">
        <v>0.1</v>
      </c>
      <c r="I1973" s="598">
        <v>7.4999999999999997E-2</v>
      </c>
      <c r="J1973" s="598">
        <f t="shared" ref="J1973:J1975" si="175">ROUNDUP(PRODUCT(D1973:I1973),2)</f>
        <v>0.23</v>
      </c>
      <c r="K1973" s="581"/>
    </row>
    <row r="1974" spans="1:11">
      <c r="A1974" s="568"/>
      <c r="B1974" s="593" t="s">
        <v>1475</v>
      </c>
      <c r="C1974" s="655" t="s">
        <v>1920</v>
      </c>
      <c r="D1974" s="578">
        <v>1</v>
      </c>
      <c r="E1974" s="579" t="s">
        <v>8</v>
      </c>
      <c r="F1974" s="663">
        <v>1</v>
      </c>
      <c r="G1974" s="612">
        <f>0.75+2.15+2.15</f>
        <v>5.05</v>
      </c>
      <c r="H1974" s="598">
        <v>0.1</v>
      </c>
      <c r="I1974" s="598">
        <v>7.4999999999999997E-2</v>
      </c>
      <c r="J1974" s="598">
        <f t="shared" ref="J1974" si="176">ROUNDUP(PRODUCT(D1974:I1974),2)</f>
        <v>0.04</v>
      </c>
      <c r="K1974" s="581"/>
    </row>
    <row r="1975" spans="1:11">
      <c r="A1975" s="568"/>
      <c r="B1975" s="593" t="s">
        <v>1475</v>
      </c>
      <c r="C1975" s="577" t="s">
        <v>1646</v>
      </c>
      <c r="D1975" s="578">
        <v>3</v>
      </c>
      <c r="E1975" s="579" t="s">
        <v>8</v>
      </c>
      <c r="F1975" s="663">
        <v>13</v>
      </c>
      <c r="G1975" s="612">
        <f>0.75+2.15+2.15</f>
        <v>5.05</v>
      </c>
      <c r="H1975" s="598">
        <v>0.1</v>
      </c>
      <c r="I1975" s="598">
        <v>7.4999999999999997E-2</v>
      </c>
      <c r="J1975" s="598">
        <f t="shared" si="175"/>
        <v>1.48</v>
      </c>
      <c r="K1975" s="581"/>
    </row>
    <row r="1976" spans="1:11">
      <c r="A1976" s="568"/>
      <c r="B1976" s="622" t="s">
        <v>28</v>
      </c>
      <c r="C1976" s="577"/>
      <c r="G1976" s="612"/>
      <c r="H1976" s="598"/>
      <c r="I1976" s="598"/>
      <c r="J1976" s="605">
        <f>SUM(J1967:J1975)</f>
        <v>3.84</v>
      </c>
      <c r="K1976" s="576"/>
    </row>
    <row r="1977" spans="1:11">
      <c r="A1977" s="568"/>
      <c r="B1977" s="593"/>
      <c r="C1977" s="589"/>
      <c r="G1977" s="725"/>
      <c r="H1977" s="726"/>
      <c r="I1977" s="591"/>
      <c r="J1977" s="605">
        <f>ROUNDUP(J1976,0)</f>
        <v>4</v>
      </c>
      <c r="K1977" s="592" t="s">
        <v>52</v>
      </c>
    </row>
    <row r="1978" spans="1:11" ht="175.15" customHeight="1">
      <c r="A1978" s="568">
        <f>A1965+1</f>
        <v>18</v>
      </c>
      <c r="B1978" s="723" t="str">
        <f>'BOQ-C&amp;I'!C106</f>
        <v xml:space="preserve">Providing and fixing of  well seasoned, best available teak wood frame for doors, windows, ventilators and any other similar joinery works of approved size and as per drawing detail. All exposed wooden surfaces are duly polished with melamine polish of required level. The rate shall be inclusive of making necessary design as per drawing, in the frame and necessary hold fastener and hardware ect, The rate shall be inclusive of supply and fixing of 6 nos MS flat iron holdfast for each door of size 40mmx3mm and 40CM long fixing with CC 1:2:4 and 75mm long 10mm dia anchor fastener to RCC location where ever required. Finishes shall made at Factory only installation at site as complete with all respects complying with relevant standard specification, as directed by the departmental officers. </v>
      </c>
      <c r="C1978" s="723"/>
      <c r="D1978" s="723"/>
      <c r="E1978" s="723"/>
      <c r="F1978" s="723"/>
      <c r="G1978" s="723"/>
      <c r="H1978" s="723"/>
      <c r="I1978" s="723"/>
      <c r="J1978" s="723"/>
      <c r="K1978" s="723"/>
    </row>
    <row r="1979" spans="1:11">
      <c r="A1979" s="568" t="s">
        <v>71</v>
      </c>
      <c r="B1979" s="588" t="str">
        <f>'BOQ-C&amp;I'!C107</f>
        <v>Upto 2m length</v>
      </c>
      <c r="C1979" s="589"/>
      <c r="D1979" s="578">
        <v>1</v>
      </c>
      <c r="E1979" s="579" t="s">
        <v>8</v>
      </c>
      <c r="F1979" s="569">
        <v>1</v>
      </c>
      <c r="G1979" s="725"/>
      <c r="H1979" s="726"/>
      <c r="I1979" s="591"/>
      <c r="J1979" s="605">
        <f>PRODUCT(D1979:I1979)</f>
        <v>1</v>
      </c>
      <c r="K1979" s="592" t="s">
        <v>52</v>
      </c>
    </row>
    <row r="1980" spans="1:11">
      <c r="A1980" s="568" t="s">
        <v>70</v>
      </c>
      <c r="B1980" s="588" t="str">
        <f>'BOQ-C&amp;I'!C108</f>
        <v>2 to 3m length</v>
      </c>
      <c r="C1980" s="589"/>
      <c r="D1980" s="578">
        <v>1</v>
      </c>
      <c r="E1980" s="579" t="s">
        <v>8</v>
      </c>
      <c r="F1980" s="569">
        <v>1</v>
      </c>
      <c r="G1980" s="725"/>
      <c r="H1980" s="726"/>
      <c r="I1980" s="591"/>
      <c r="J1980" s="605">
        <f>PRODUCT(D1980:I1980)</f>
        <v>1</v>
      </c>
      <c r="K1980" s="592" t="s">
        <v>52</v>
      </c>
    </row>
    <row r="1981" spans="1:11" ht="107.25" customHeight="1">
      <c r="A1981" s="568">
        <f>A1978+1</f>
        <v>19</v>
      </c>
      <c r="B1981" s="723" t="str">
        <f>'BOQ-C&amp;I'!C110</f>
        <v xml:space="preserve">Supplying and fixing of Solid Core Flush shutters with commercial ply on both side with teakwook lipping alround 35mm thick, Alround fully Teak wood Beading 35mm x 12mm, 125mm x 30mm  butt hinges - 3 No's, 150mm x 12mm Tower bolt - 2 No's, 5" Aldrop -1 No, 'D' type Handle 100mm - 2 No's,Rubber Bush - 40mm dia and 60mm long with required screws - 1 No etc </v>
      </c>
      <c r="C1981" s="723"/>
      <c r="D1981" s="723"/>
      <c r="E1981" s="723"/>
      <c r="F1981" s="723"/>
      <c r="G1981" s="723"/>
      <c r="H1981" s="723"/>
      <c r="I1981" s="723"/>
      <c r="J1981" s="723"/>
      <c r="K1981" s="723"/>
    </row>
    <row r="1982" spans="1:11">
      <c r="A1982" s="568"/>
      <c r="B1982" s="584" t="s">
        <v>788</v>
      </c>
      <c r="C1982" s="577"/>
      <c r="G1982" s="612"/>
      <c r="H1982" s="598"/>
      <c r="I1982" s="598"/>
      <c r="J1982" s="598"/>
      <c r="K1982" s="581"/>
    </row>
    <row r="1983" spans="1:11">
      <c r="A1983" s="568"/>
      <c r="B1983" s="593" t="s">
        <v>1470</v>
      </c>
      <c r="C1983" s="655" t="s">
        <v>536</v>
      </c>
      <c r="D1983" s="578">
        <v>1</v>
      </c>
      <c r="E1983" s="579" t="s">
        <v>8</v>
      </c>
      <c r="F1983" s="663">
        <v>2</v>
      </c>
      <c r="G1983" s="612"/>
      <c r="H1983" s="598"/>
      <c r="I1983" s="598"/>
      <c r="J1983" s="598">
        <f t="shared" ref="J1983:J1993" si="177">ROUNDUP(PRODUCT(D1983:I1983),2)</f>
        <v>2</v>
      </c>
      <c r="K1983" s="581"/>
    </row>
    <row r="1984" spans="1:11">
      <c r="A1984" s="568"/>
      <c r="B1984" s="593" t="s">
        <v>1472</v>
      </c>
      <c r="C1984" s="655" t="s">
        <v>536</v>
      </c>
      <c r="D1984" s="578">
        <v>1</v>
      </c>
      <c r="E1984" s="579" t="s">
        <v>8</v>
      </c>
      <c r="F1984" s="663">
        <v>2</v>
      </c>
      <c r="G1984" s="612"/>
      <c r="H1984" s="598"/>
      <c r="I1984" s="598"/>
      <c r="J1984" s="598">
        <f>ROUNDUP(PRODUCT(D1984:I1984),2)</f>
        <v>2</v>
      </c>
      <c r="K1984" s="581"/>
    </row>
    <row r="1985" spans="1:11">
      <c r="A1985" s="568"/>
      <c r="B1985" s="593" t="s">
        <v>1473</v>
      </c>
      <c r="C1985" s="655" t="s">
        <v>536</v>
      </c>
      <c r="D1985" s="578">
        <v>1</v>
      </c>
      <c r="E1985" s="579" t="s">
        <v>8</v>
      </c>
      <c r="F1985" s="663">
        <v>4</v>
      </c>
      <c r="G1985" s="612"/>
      <c r="H1985" s="598"/>
      <c r="I1985" s="598"/>
      <c r="J1985" s="598">
        <f>ROUNDUP(PRODUCT(D1985:I1985),2)</f>
        <v>4</v>
      </c>
      <c r="K1985" s="581"/>
    </row>
    <row r="1986" spans="1:11">
      <c r="A1986" s="568"/>
      <c r="B1986" s="622" t="s">
        <v>28</v>
      </c>
      <c r="C1986" s="655"/>
      <c r="F1986" s="663"/>
      <c r="G1986" s="612"/>
      <c r="H1986" s="598"/>
      <c r="I1986" s="598"/>
      <c r="J1986" s="614">
        <f>SUM(J1983:J1985)</f>
        <v>8</v>
      </c>
      <c r="K1986" s="581"/>
    </row>
    <row r="1987" spans="1:11">
      <c r="A1987" s="568"/>
      <c r="B1987" s="593" t="s">
        <v>1471</v>
      </c>
      <c r="C1987" s="655" t="s">
        <v>536</v>
      </c>
      <c r="D1987" s="578">
        <v>1</v>
      </c>
      <c r="E1987" s="579" t="s">
        <v>8</v>
      </c>
      <c r="F1987" s="663">
        <v>3</v>
      </c>
      <c r="G1987" s="612"/>
      <c r="H1987" s="598"/>
      <c r="I1987" s="598"/>
      <c r="J1987" s="598">
        <f t="shared" si="177"/>
        <v>3</v>
      </c>
      <c r="K1987" s="581"/>
    </row>
    <row r="1988" spans="1:11">
      <c r="A1988" s="568"/>
      <c r="B1988" s="593" t="s">
        <v>1471</v>
      </c>
      <c r="C1988" s="577" t="s">
        <v>1646</v>
      </c>
      <c r="D1988" s="578">
        <v>3</v>
      </c>
      <c r="E1988" s="579" t="s">
        <v>8</v>
      </c>
      <c r="F1988" s="663">
        <v>13</v>
      </c>
      <c r="G1988" s="612"/>
      <c r="H1988" s="598"/>
      <c r="I1988" s="598"/>
      <c r="J1988" s="598">
        <f t="shared" si="177"/>
        <v>39</v>
      </c>
      <c r="K1988" s="581"/>
    </row>
    <row r="1989" spans="1:11">
      <c r="A1989" s="568"/>
      <c r="B1989" s="593" t="s">
        <v>1474</v>
      </c>
      <c r="C1989" s="655" t="s">
        <v>536</v>
      </c>
      <c r="D1989" s="578">
        <v>1</v>
      </c>
      <c r="E1989" s="579" t="s">
        <v>8</v>
      </c>
      <c r="F1989" s="663">
        <v>3</v>
      </c>
      <c r="G1989" s="612"/>
      <c r="H1989" s="598"/>
      <c r="I1989" s="598"/>
      <c r="J1989" s="598">
        <f t="shared" si="177"/>
        <v>3</v>
      </c>
      <c r="K1989" s="581"/>
    </row>
    <row r="1990" spans="1:11">
      <c r="A1990" s="568"/>
      <c r="B1990" s="622" t="s">
        <v>28</v>
      </c>
      <c r="C1990" s="655"/>
      <c r="F1990" s="663"/>
      <c r="G1990" s="612"/>
      <c r="H1990" s="598"/>
      <c r="I1990" s="598"/>
      <c r="J1990" s="614">
        <f>SUM(J1987:J1989)</f>
        <v>45</v>
      </c>
      <c r="K1990" s="581"/>
    </row>
    <row r="1991" spans="1:11">
      <c r="A1991" s="568"/>
      <c r="B1991" s="593" t="s">
        <v>1475</v>
      </c>
      <c r="C1991" s="655" t="s">
        <v>536</v>
      </c>
      <c r="D1991" s="578">
        <v>1</v>
      </c>
      <c r="E1991" s="579" t="s">
        <v>8</v>
      </c>
      <c r="F1991" s="663">
        <v>6</v>
      </c>
      <c r="G1991" s="612"/>
      <c r="H1991" s="598"/>
      <c r="I1991" s="598"/>
      <c r="J1991" s="598">
        <f t="shared" si="177"/>
        <v>6</v>
      </c>
      <c r="K1991" s="581"/>
    </row>
    <row r="1992" spans="1:11">
      <c r="A1992" s="568"/>
      <c r="B1992" s="593" t="s">
        <v>1475</v>
      </c>
      <c r="C1992" s="655" t="s">
        <v>1920</v>
      </c>
      <c r="D1992" s="578">
        <v>1</v>
      </c>
      <c r="E1992" s="579" t="s">
        <v>8</v>
      </c>
      <c r="F1992" s="663">
        <v>1</v>
      </c>
      <c r="G1992" s="612"/>
      <c r="H1992" s="598"/>
      <c r="I1992" s="598"/>
      <c r="J1992" s="598">
        <f t="shared" si="177"/>
        <v>1</v>
      </c>
      <c r="K1992" s="581"/>
    </row>
    <row r="1993" spans="1:11">
      <c r="A1993" s="568"/>
      <c r="B1993" s="593" t="s">
        <v>1475</v>
      </c>
      <c r="C1993" s="577" t="s">
        <v>1646</v>
      </c>
      <c r="D1993" s="578">
        <v>3</v>
      </c>
      <c r="E1993" s="579" t="s">
        <v>8</v>
      </c>
      <c r="F1993" s="663">
        <v>13</v>
      </c>
      <c r="G1993" s="612"/>
      <c r="H1993" s="598"/>
      <c r="I1993" s="598"/>
      <c r="J1993" s="598">
        <f t="shared" si="177"/>
        <v>39</v>
      </c>
      <c r="K1993" s="581"/>
    </row>
    <row r="1994" spans="1:11">
      <c r="A1994" s="568"/>
      <c r="B1994" s="622" t="s">
        <v>28</v>
      </c>
      <c r="C1994" s="577"/>
      <c r="G1994" s="612"/>
      <c r="H1994" s="598"/>
      <c r="I1994" s="598"/>
      <c r="J1994" s="605">
        <f>SUM(J1991:J1993)</f>
        <v>46</v>
      </c>
      <c r="K1994" s="576"/>
    </row>
    <row r="1995" spans="1:11" ht="37.5" customHeight="1">
      <c r="A1995" s="568">
        <f>A1981+1</f>
        <v>20</v>
      </c>
      <c r="B1995" s="733" t="str">
        <f>'BOQ-C&amp;I'!C114</f>
        <v>Supply and fixing Fire rated door 2hr. rating hollow  metal  doors  -  Powder  Coated with vision panel of size 200 x 300mm.</v>
      </c>
      <c r="C1995" s="733"/>
      <c r="D1995" s="733"/>
      <c r="E1995" s="733"/>
      <c r="F1995" s="733"/>
      <c r="G1995" s="733"/>
      <c r="H1995" s="733"/>
      <c r="I1995" s="733"/>
      <c r="J1995" s="733"/>
      <c r="K1995" s="733"/>
    </row>
    <row r="1996" spans="1:11" ht="230.45" customHeight="1">
      <c r="A1996" s="568"/>
      <c r="B1996" s="733" t="str">
        <f>'BOQ-C&amp;I'!C115</f>
        <v>Frame:a) Material - 1.60 mm max (16 gauge) galvanized steel sheets complying to IS 277 Code of GPL Grade with Z 120 Coating.b) Profile - Double Rebated Frame to be of dimensions 150 mm X 58 mm and Single Rebated Frame to be of dimensions 100mm x 58 mm.c) Manufacture - 1.60 / 1.2 mm thick galvanized steel sheet to the specified profiles and dimensions. Frames manufactured at factory shall be knock down form with mitered assembly at site.d) Door frame preparations – to be provided with back plates on all jambs with provision for anchor bolt fixing to wall openings. All frames to have reinforcement pads for fixing of door closer, at appropriate location as per manufacturer’s details.e) Frames to have factory finish-pre-punched cut outs to receive specific hardware andironmongery.</v>
      </c>
      <c r="C1996" s="733"/>
      <c r="D1996" s="733"/>
      <c r="E1996" s="733"/>
      <c r="F1996" s="733"/>
      <c r="G1996" s="733"/>
      <c r="H1996" s="733"/>
      <c r="I1996" s="733"/>
      <c r="J1996" s="733"/>
      <c r="K1996" s="733"/>
    </row>
    <row r="1997" spans="1:11" ht="124.9" customHeight="1">
      <c r="A1997" s="568"/>
      <c r="B1997" s="733" t="str">
        <f>'BOQ-C&amp;I'!C116</f>
        <v>f) Frames to be provided with hinge plates 3 mm thick pre-drilled to receive hinges for screw mounted fixing. All cut outs including hinge plates, strike plates to have mortar guard covers from inside to prevent cement, dust ingress into cut outs at the time of grouting.g) Frames to have rubber shutter silencer on strike jambs for single shutter frames and on the head jambs for double shutter frames.h) Frames shall be finished with Pure Polyester Powder Coated to any RAL Shade to withstand 300 hours of salt spray.</v>
      </c>
      <c r="C1997" s="733"/>
      <c r="D1997" s="733"/>
      <c r="E1997" s="733"/>
      <c r="F1997" s="733"/>
      <c r="G1997" s="733"/>
      <c r="H1997" s="733"/>
      <c r="I1997" s="733"/>
      <c r="J1997" s="733"/>
      <c r="K1997" s="733"/>
    </row>
    <row r="1998" spans="1:11">
      <c r="A1998" s="568" t="s">
        <v>71</v>
      </c>
      <c r="B1998" s="593" t="s">
        <v>1478</v>
      </c>
      <c r="C1998" s="577"/>
      <c r="G1998" s="612"/>
      <c r="H1998" s="598"/>
      <c r="I1998" s="598"/>
      <c r="J1998" s="614"/>
      <c r="K1998" s="576"/>
    </row>
    <row r="1999" spans="1:11">
      <c r="A1999" s="568"/>
      <c r="B1999" s="593" t="s">
        <v>12</v>
      </c>
      <c r="C1999" s="577"/>
      <c r="G1999" s="612"/>
      <c r="H1999" s="598"/>
      <c r="I1999" s="598"/>
      <c r="J1999" s="614"/>
      <c r="K1999" s="576"/>
    </row>
    <row r="2000" spans="1:11">
      <c r="A2000" s="568"/>
      <c r="B2000" s="593" t="s">
        <v>900</v>
      </c>
      <c r="C2000" s="577"/>
      <c r="D2000" s="578">
        <v>1</v>
      </c>
      <c r="E2000" s="579" t="s">
        <v>8</v>
      </c>
      <c r="F2000" s="569">
        <v>1</v>
      </c>
      <c r="G2000" s="612"/>
      <c r="H2000" s="598"/>
      <c r="I2000" s="598"/>
      <c r="J2000" s="598">
        <f t="shared" ref="J2000" si="178">ROUNDUP(PRODUCT(D2000:I2000),2)</f>
        <v>1</v>
      </c>
      <c r="K2000" s="576"/>
    </row>
    <row r="2001" spans="1:11">
      <c r="A2001" s="568"/>
      <c r="B2001" s="622" t="s">
        <v>28</v>
      </c>
      <c r="C2001" s="577"/>
      <c r="G2001" s="612"/>
      <c r="H2001" s="598"/>
      <c r="I2001" s="614"/>
      <c r="J2001" s="614">
        <f>SUM(J1999:J2000)</f>
        <v>1</v>
      </c>
      <c r="K2001" s="576" t="s">
        <v>51</v>
      </c>
    </row>
    <row r="2002" spans="1:11">
      <c r="A2002" s="568" t="s">
        <v>70</v>
      </c>
      <c r="B2002" s="593" t="s">
        <v>1479</v>
      </c>
      <c r="C2002" s="577"/>
      <c r="G2002" s="612"/>
      <c r="H2002" s="598"/>
      <c r="I2002" s="598"/>
      <c r="J2002" s="614"/>
      <c r="K2002" s="576"/>
    </row>
    <row r="2003" spans="1:11">
      <c r="A2003" s="568"/>
      <c r="B2003" s="593" t="s">
        <v>12</v>
      </c>
      <c r="C2003" s="577"/>
      <c r="G2003" s="612"/>
      <c r="H2003" s="598"/>
      <c r="I2003" s="598"/>
      <c r="J2003" s="614"/>
      <c r="K2003" s="576"/>
    </row>
    <row r="2004" spans="1:11">
      <c r="A2004" s="568"/>
      <c r="B2004" s="593" t="s">
        <v>901</v>
      </c>
      <c r="C2004" s="577"/>
      <c r="D2004" s="578">
        <v>1</v>
      </c>
      <c r="E2004" s="579" t="s">
        <v>8</v>
      </c>
      <c r="F2004" s="569">
        <v>1</v>
      </c>
      <c r="G2004" s="612"/>
      <c r="H2004" s="598"/>
      <c r="I2004" s="598"/>
      <c r="J2004" s="598">
        <f t="shared" ref="J2004" si="179">ROUNDUP(PRODUCT(D2004:I2004),2)</f>
        <v>1</v>
      </c>
      <c r="K2004" s="576"/>
    </row>
    <row r="2005" spans="1:11">
      <c r="A2005" s="568"/>
      <c r="B2005" s="593" t="s">
        <v>60</v>
      </c>
      <c r="C2005" s="577"/>
      <c r="G2005" s="612"/>
      <c r="H2005" s="598"/>
      <c r="I2005" s="598"/>
      <c r="J2005" s="598"/>
      <c r="K2005" s="576"/>
    </row>
    <row r="2006" spans="1:11">
      <c r="A2006" s="568"/>
      <c r="B2006" s="593" t="s">
        <v>22</v>
      </c>
      <c r="C2006" s="577"/>
      <c r="D2006" s="578">
        <v>1</v>
      </c>
      <c r="E2006" s="579" t="s">
        <v>8</v>
      </c>
      <c r="F2006" s="569">
        <v>3</v>
      </c>
      <c r="G2006" s="612"/>
      <c r="H2006" s="598"/>
      <c r="I2006" s="598"/>
      <c r="J2006" s="598">
        <f t="shared" ref="J2006" si="180">ROUNDUP(PRODUCT(D2006:I2006),2)</f>
        <v>3</v>
      </c>
      <c r="K2006" s="576"/>
    </row>
    <row r="2007" spans="1:11">
      <c r="A2007" s="568"/>
      <c r="B2007" s="622" t="s">
        <v>28</v>
      </c>
      <c r="C2007" s="577"/>
      <c r="G2007" s="612"/>
      <c r="H2007" s="598"/>
      <c r="I2007" s="598"/>
      <c r="J2007" s="614">
        <f>SUM(J2004:J2006)</f>
        <v>4</v>
      </c>
      <c r="K2007" s="576" t="s">
        <v>51</v>
      </c>
    </row>
    <row r="2008" spans="1:11" ht="243.6" customHeight="1">
      <c r="A2008" s="568">
        <f>+A1995+1</f>
        <v>21</v>
      </c>
      <c r="B2008" s="733" t="str">
        <f>'BOQ-C&amp;I'!C119</f>
        <v>UPVC Sliding Window with SS meshProviding and fixing of Two and half track Sliding Window with SS Mesh using 108mm x 47mm outer frame with Window Sash of 56mm x 38mm frame screen sash of 52mm x 22mm and all sections shall reinforced with Galvanized Iron of 120 GSM profiles through out the window steel of 1mm in Frame and 1.5mm in Shutters.Composition of profile shall consists a minimum of 6 PHR of TiO₂ for every 100 parts of PVC resin. All Glazed shutters are fixed with 5mm thk clear glass with TPV gasket and co extruded beadings with single point locking system of flush lock, Profile thicknes of 2.2mm +_ 0.2mm. The rate shall be include for preaparing &amp; submitting shop drawings, calculations etc.. and for conducting the necessary test to check for water tightness at various heights etc.. and also inclusive of cost and conveyance of all materials, accessories, labour charges for transportation, erection at site complete for finished item of work, as complete with all respects complying with relevant standard codes &amp; specification, as directed by the Engineer-in-charge.</v>
      </c>
      <c r="C2008" s="733"/>
      <c r="D2008" s="733"/>
      <c r="E2008" s="733"/>
      <c r="F2008" s="733"/>
      <c r="G2008" s="733"/>
      <c r="H2008" s="733"/>
      <c r="I2008" s="733"/>
      <c r="J2008" s="733"/>
      <c r="K2008" s="733"/>
    </row>
    <row r="2009" spans="1:11">
      <c r="A2009" s="568" t="s">
        <v>71</v>
      </c>
      <c r="B2009" s="737" t="s">
        <v>1476</v>
      </c>
      <c r="C2009" s="738"/>
      <c r="D2009" s="738"/>
      <c r="E2009" s="738"/>
      <c r="F2009" s="738"/>
      <c r="G2009" s="738"/>
      <c r="H2009" s="738"/>
      <c r="I2009" s="738"/>
      <c r="J2009" s="738"/>
      <c r="K2009" s="739"/>
    </row>
    <row r="2010" spans="1:11">
      <c r="A2010" s="568"/>
      <c r="B2010" s="593" t="s">
        <v>536</v>
      </c>
      <c r="C2010" s="577"/>
      <c r="G2010" s="612"/>
      <c r="H2010" s="598"/>
      <c r="I2010" s="598"/>
      <c r="J2010" s="598"/>
      <c r="K2010" s="581"/>
    </row>
    <row r="2011" spans="1:11">
      <c r="A2011" s="568"/>
      <c r="B2011" s="593" t="s">
        <v>579</v>
      </c>
      <c r="C2011" s="577"/>
      <c r="D2011" s="578">
        <v>1</v>
      </c>
      <c r="E2011" s="579" t="s">
        <v>8</v>
      </c>
      <c r="F2011" s="569">
        <v>16</v>
      </c>
      <c r="G2011" s="612"/>
      <c r="H2011" s="598"/>
      <c r="I2011" s="598"/>
      <c r="J2011" s="598">
        <f t="shared" ref="J2011:J2041" si="181">ROUNDUP(PRODUCT(D2011:I2011),2)</f>
        <v>16</v>
      </c>
      <c r="K2011" s="581"/>
    </row>
    <row r="2012" spans="1:11">
      <c r="A2012" s="568"/>
      <c r="B2012" s="593" t="s">
        <v>1227</v>
      </c>
      <c r="C2012" s="577"/>
      <c r="G2012" s="612"/>
      <c r="H2012" s="598"/>
      <c r="I2012" s="598"/>
      <c r="J2012" s="598"/>
      <c r="K2012" s="581"/>
    </row>
    <row r="2013" spans="1:11">
      <c r="A2013" s="568"/>
      <c r="B2013" s="593" t="s">
        <v>579</v>
      </c>
      <c r="C2013" s="577"/>
      <c r="D2013" s="578">
        <v>3</v>
      </c>
      <c r="E2013" s="579" t="s">
        <v>8</v>
      </c>
      <c r="F2013" s="569">
        <v>7</v>
      </c>
      <c r="G2013" s="612"/>
      <c r="H2013" s="598"/>
      <c r="I2013" s="598"/>
      <c r="J2013" s="598">
        <f>ROUNDUP(PRODUCT(D2013:I2013),2)</f>
        <v>21</v>
      </c>
      <c r="K2013" s="581"/>
    </row>
    <row r="2014" spans="1:11">
      <c r="A2014" s="568"/>
      <c r="B2014" s="622" t="s">
        <v>28</v>
      </c>
      <c r="C2014" s="577"/>
      <c r="G2014" s="612"/>
      <c r="H2014" s="598"/>
      <c r="I2014" s="598"/>
      <c r="J2014" s="614">
        <f>SUM(J2011:J2013)</f>
        <v>37</v>
      </c>
      <c r="K2014" s="576" t="s">
        <v>51</v>
      </c>
    </row>
    <row r="2015" spans="1:11">
      <c r="A2015" s="568" t="s">
        <v>70</v>
      </c>
      <c r="B2015" s="737" t="s">
        <v>1477</v>
      </c>
      <c r="C2015" s="738"/>
      <c r="D2015" s="738"/>
      <c r="E2015" s="738"/>
      <c r="F2015" s="738"/>
      <c r="G2015" s="738"/>
      <c r="H2015" s="738"/>
      <c r="I2015" s="738"/>
      <c r="J2015" s="738"/>
      <c r="K2015" s="739"/>
    </row>
    <row r="2016" spans="1:11">
      <c r="A2016" s="568"/>
      <c r="B2016" s="593" t="s">
        <v>536</v>
      </c>
      <c r="C2016" s="577"/>
      <c r="G2016" s="612"/>
      <c r="H2016" s="598"/>
      <c r="I2016" s="598"/>
      <c r="J2016" s="614"/>
      <c r="K2016" s="576"/>
    </row>
    <row r="2017" spans="1:11">
      <c r="A2017" s="568"/>
      <c r="B2017" s="593" t="s">
        <v>586</v>
      </c>
      <c r="C2017" s="577"/>
      <c r="D2017" s="578">
        <v>1</v>
      </c>
      <c r="E2017" s="579" t="s">
        <v>8</v>
      </c>
      <c r="F2017" s="569">
        <v>3</v>
      </c>
      <c r="G2017" s="612"/>
      <c r="H2017" s="598"/>
      <c r="I2017" s="598"/>
      <c r="J2017" s="598">
        <f>ROUNDUP(PRODUCT(D2017:I2017),2)</f>
        <v>3</v>
      </c>
      <c r="K2017" s="581"/>
    </row>
    <row r="2018" spans="1:11">
      <c r="A2018" s="568"/>
      <c r="B2018" s="593" t="s">
        <v>1227</v>
      </c>
      <c r="C2018" s="577"/>
      <c r="G2018" s="612"/>
      <c r="H2018" s="598"/>
      <c r="I2018" s="598"/>
      <c r="J2018" s="598"/>
      <c r="K2018" s="581"/>
    </row>
    <row r="2019" spans="1:11">
      <c r="A2019" s="568"/>
      <c r="B2019" s="593" t="s">
        <v>586</v>
      </c>
      <c r="C2019" s="577"/>
      <c r="D2019" s="578">
        <v>3</v>
      </c>
      <c r="E2019" s="579" t="s">
        <v>8</v>
      </c>
      <c r="F2019" s="569">
        <v>1</v>
      </c>
      <c r="G2019" s="612"/>
      <c r="H2019" s="598"/>
      <c r="I2019" s="598"/>
      <c r="J2019" s="598">
        <f>ROUNDUP(PRODUCT(D2019:I2019),2)</f>
        <v>3</v>
      </c>
      <c r="K2019" s="581"/>
    </row>
    <row r="2020" spans="1:11">
      <c r="A2020" s="568"/>
      <c r="B2020" s="622" t="s">
        <v>28</v>
      </c>
      <c r="C2020" s="577"/>
      <c r="G2020" s="612"/>
      <c r="H2020" s="598"/>
      <c r="I2020" s="598"/>
      <c r="J2020" s="614">
        <f>SUM(J2017:J2019)</f>
        <v>6</v>
      </c>
      <c r="K2020" s="576" t="s">
        <v>51</v>
      </c>
    </row>
    <row r="2021" spans="1:11">
      <c r="A2021" s="568" t="s">
        <v>69</v>
      </c>
      <c r="B2021" s="737" t="s">
        <v>1481</v>
      </c>
      <c r="C2021" s="738"/>
      <c r="D2021" s="738"/>
      <c r="E2021" s="738"/>
      <c r="F2021" s="738"/>
      <c r="G2021" s="738"/>
      <c r="H2021" s="738"/>
      <c r="I2021" s="738"/>
      <c r="J2021" s="738"/>
      <c r="K2021" s="739"/>
    </row>
    <row r="2022" spans="1:11">
      <c r="A2022" s="568"/>
      <c r="B2022" s="632" t="s">
        <v>536</v>
      </c>
      <c r="C2022" s="664"/>
      <c r="D2022" s="664"/>
      <c r="E2022" s="664"/>
      <c r="F2022" s="664"/>
      <c r="G2022" s="664"/>
      <c r="H2022" s="664"/>
      <c r="I2022" s="664"/>
      <c r="J2022" s="664"/>
      <c r="K2022" s="665"/>
    </row>
    <row r="2023" spans="1:11">
      <c r="A2023" s="568"/>
      <c r="B2023" s="593" t="s">
        <v>1921</v>
      </c>
      <c r="C2023" s="577"/>
      <c r="D2023" s="578">
        <v>1</v>
      </c>
      <c r="E2023" s="579" t="s">
        <v>8</v>
      </c>
      <c r="F2023" s="569">
        <v>1</v>
      </c>
      <c r="G2023" s="612"/>
      <c r="H2023" s="598"/>
      <c r="I2023" s="598"/>
      <c r="J2023" s="598">
        <f>ROUNDUP(PRODUCT(D2023:I2023),2)</f>
        <v>1</v>
      </c>
      <c r="K2023" s="581"/>
    </row>
    <row r="2024" spans="1:11">
      <c r="A2024" s="568"/>
      <c r="B2024" s="622" t="s">
        <v>28</v>
      </c>
      <c r="C2024" s="577"/>
      <c r="G2024" s="612"/>
      <c r="H2024" s="598"/>
      <c r="I2024" s="598"/>
      <c r="J2024" s="614">
        <f>SUM(J2023)</f>
        <v>1</v>
      </c>
      <c r="K2024" s="576" t="s">
        <v>51</v>
      </c>
    </row>
    <row r="2025" spans="1:11">
      <c r="A2025" s="568" t="s">
        <v>68</v>
      </c>
      <c r="B2025" s="737" t="s">
        <v>1480</v>
      </c>
      <c r="C2025" s="738"/>
      <c r="D2025" s="738"/>
      <c r="E2025" s="738"/>
      <c r="F2025" s="738"/>
      <c r="G2025" s="738"/>
      <c r="H2025" s="738"/>
      <c r="I2025" s="738"/>
      <c r="J2025" s="738"/>
      <c r="K2025" s="739"/>
    </row>
    <row r="2026" spans="1:11">
      <c r="A2026" s="568"/>
      <c r="B2026" s="666" t="s">
        <v>536</v>
      </c>
      <c r="C2026" s="577"/>
      <c r="G2026" s="612"/>
      <c r="H2026" s="598"/>
      <c r="I2026" s="598"/>
      <c r="J2026" s="614"/>
      <c r="K2026" s="576"/>
    </row>
    <row r="2027" spans="1:11">
      <c r="A2027" s="568"/>
      <c r="B2027" s="593" t="s">
        <v>1217</v>
      </c>
      <c r="C2027" s="577"/>
      <c r="D2027" s="578">
        <v>0</v>
      </c>
      <c r="E2027" s="579" t="s">
        <v>8</v>
      </c>
      <c r="F2027" s="569">
        <v>2</v>
      </c>
      <c r="G2027" s="612"/>
      <c r="H2027" s="598"/>
      <c r="I2027" s="598"/>
      <c r="J2027" s="598">
        <f>ROUNDUP(PRODUCT(D2027:I2027),2)</f>
        <v>0</v>
      </c>
      <c r="K2027" s="581"/>
    </row>
    <row r="2028" spans="1:11">
      <c r="A2028" s="568"/>
      <c r="B2028" s="593" t="s">
        <v>1245</v>
      </c>
      <c r="C2028" s="577"/>
      <c r="D2028" s="578">
        <v>0</v>
      </c>
      <c r="E2028" s="579" t="s">
        <v>8</v>
      </c>
      <c r="F2028" s="569">
        <v>2</v>
      </c>
      <c r="G2028" s="612"/>
      <c r="H2028" s="598"/>
      <c r="I2028" s="598"/>
      <c r="J2028" s="598">
        <f>ROUNDUP(PRODUCT(D2028:I2028),2)</f>
        <v>0</v>
      </c>
      <c r="K2028" s="581"/>
    </row>
    <row r="2029" spans="1:11">
      <c r="A2029" s="568"/>
      <c r="B2029" s="584" t="s">
        <v>1227</v>
      </c>
      <c r="C2029" s="577"/>
      <c r="G2029" s="612"/>
      <c r="H2029" s="598"/>
      <c r="I2029" s="598"/>
      <c r="J2029" s="614"/>
      <c r="K2029" s="576"/>
    </row>
    <row r="2030" spans="1:11">
      <c r="A2030" s="568"/>
      <c r="B2030" s="593" t="s">
        <v>1217</v>
      </c>
      <c r="C2030" s="577"/>
      <c r="D2030" s="578">
        <v>3</v>
      </c>
      <c r="E2030" s="579" t="s">
        <v>8</v>
      </c>
      <c r="F2030" s="569">
        <v>2</v>
      </c>
      <c r="G2030" s="612"/>
      <c r="H2030" s="598"/>
      <c r="I2030" s="598"/>
      <c r="J2030" s="598">
        <f>ROUNDUP(PRODUCT(D2030:I2030),2)</f>
        <v>6</v>
      </c>
      <c r="K2030" s="581"/>
    </row>
    <row r="2031" spans="1:11">
      <c r="A2031" s="568"/>
      <c r="B2031" s="593" t="s">
        <v>1245</v>
      </c>
      <c r="C2031" s="577"/>
      <c r="D2031" s="578">
        <v>3</v>
      </c>
      <c r="E2031" s="579" t="s">
        <v>8</v>
      </c>
      <c r="F2031" s="569">
        <v>2</v>
      </c>
      <c r="G2031" s="612"/>
      <c r="H2031" s="598"/>
      <c r="I2031" s="598"/>
      <c r="J2031" s="598">
        <f>ROUNDUP(PRODUCT(D2031:I2031),2)</f>
        <v>6</v>
      </c>
      <c r="K2031" s="581"/>
    </row>
    <row r="2032" spans="1:11">
      <c r="A2032" s="568"/>
      <c r="B2032" s="584" t="s">
        <v>607</v>
      </c>
      <c r="C2032" s="577"/>
      <c r="G2032" s="612"/>
      <c r="H2032" s="598"/>
      <c r="I2032" s="598"/>
      <c r="J2032" s="614"/>
      <c r="K2032" s="576"/>
    </row>
    <row r="2033" spans="1:11">
      <c r="A2033" s="568"/>
      <c r="B2033" s="593" t="s">
        <v>1245</v>
      </c>
      <c r="C2033" s="577"/>
      <c r="D2033" s="578">
        <v>1</v>
      </c>
      <c r="E2033" s="579" t="s">
        <v>8</v>
      </c>
      <c r="F2033" s="569">
        <v>2</v>
      </c>
      <c r="G2033" s="612"/>
      <c r="H2033" s="598"/>
      <c r="I2033" s="598"/>
      <c r="J2033" s="598">
        <f t="shared" ref="J2033" si="182">ROUNDUP(PRODUCT(D2033:I2033),2)</f>
        <v>2</v>
      </c>
      <c r="K2033" s="581"/>
    </row>
    <row r="2034" spans="1:11">
      <c r="A2034" s="568"/>
      <c r="B2034" s="622" t="s">
        <v>28</v>
      </c>
      <c r="C2034" s="577"/>
      <c r="G2034" s="612"/>
      <c r="H2034" s="598"/>
      <c r="I2034" s="598"/>
      <c r="J2034" s="614">
        <f>SUM(J2027:J2033)</f>
        <v>14</v>
      </c>
      <c r="K2034" s="576" t="s">
        <v>51</v>
      </c>
    </row>
    <row r="2035" spans="1:11">
      <c r="A2035" s="568" t="s">
        <v>67</v>
      </c>
      <c r="B2035" s="737" t="s">
        <v>1482</v>
      </c>
      <c r="C2035" s="738"/>
      <c r="D2035" s="738"/>
      <c r="E2035" s="738"/>
      <c r="F2035" s="738"/>
      <c r="G2035" s="738"/>
      <c r="H2035" s="738"/>
      <c r="I2035" s="738"/>
      <c r="J2035" s="738"/>
      <c r="K2035" s="739"/>
    </row>
    <row r="2036" spans="1:11">
      <c r="A2036" s="568"/>
      <c r="B2036" s="666" t="s">
        <v>536</v>
      </c>
      <c r="C2036" s="577"/>
      <c r="G2036" s="612"/>
      <c r="H2036" s="598"/>
      <c r="I2036" s="598"/>
      <c r="J2036" s="614"/>
      <c r="K2036" s="576"/>
    </row>
    <row r="2037" spans="1:11">
      <c r="A2037" s="568"/>
      <c r="B2037" s="593" t="s">
        <v>1226</v>
      </c>
      <c r="C2037" s="577"/>
      <c r="D2037" s="578">
        <v>0</v>
      </c>
      <c r="E2037" s="579" t="s">
        <v>8</v>
      </c>
      <c r="F2037" s="569">
        <v>2</v>
      </c>
      <c r="G2037" s="612"/>
      <c r="H2037" s="598"/>
      <c r="I2037" s="598"/>
      <c r="J2037" s="598">
        <f t="shared" ref="J2037" si="183">ROUNDUP(PRODUCT(D2037:I2037),2)</f>
        <v>0</v>
      </c>
      <c r="K2037" s="581"/>
    </row>
    <row r="2038" spans="1:11">
      <c r="A2038" s="568"/>
      <c r="B2038" s="622" t="s">
        <v>28</v>
      </c>
      <c r="C2038" s="577"/>
      <c r="G2038" s="612"/>
      <c r="H2038" s="598"/>
      <c r="I2038" s="598"/>
      <c r="J2038" s="614">
        <f>SUM(J2037)</f>
        <v>0</v>
      </c>
      <c r="K2038" s="576" t="s">
        <v>51</v>
      </c>
    </row>
    <row r="2039" spans="1:11">
      <c r="A2039" s="568" t="s">
        <v>124</v>
      </c>
      <c r="B2039" s="737" t="s">
        <v>1483</v>
      </c>
      <c r="C2039" s="738"/>
      <c r="D2039" s="738"/>
      <c r="E2039" s="738"/>
      <c r="F2039" s="738"/>
      <c r="G2039" s="738"/>
      <c r="H2039" s="738"/>
      <c r="I2039" s="738"/>
      <c r="J2039" s="738"/>
      <c r="K2039" s="739"/>
    </row>
    <row r="2040" spans="1:11">
      <c r="A2040" s="568"/>
      <c r="B2040" s="666" t="s">
        <v>536</v>
      </c>
      <c r="C2040" s="577"/>
      <c r="G2040" s="612"/>
      <c r="H2040" s="598"/>
      <c r="I2040" s="598"/>
      <c r="J2040" s="614"/>
      <c r="K2040" s="576"/>
    </row>
    <row r="2041" spans="1:11">
      <c r="A2041" s="568"/>
      <c r="B2041" s="593" t="s">
        <v>586</v>
      </c>
      <c r="C2041" s="577"/>
      <c r="D2041" s="578">
        <v>1</v>
      </c>
      <c r="E2041" s="579" t="s">
        <v>8</v>
      </c>
      <c r="F2041" s="569">
        <v>2</v>
      </c>
      <c r="G2041" s="612"/>
      <c r="H2041" s="598"/>
      <c r="I2041" s="598"/>
      <c r="J2041" s="598">
        <f t="shared" si="181"/>
        <v>2</v>
      </c>
      <c r="K2041" s="581"/>
    </row>
    <row r="2042" spans="1:11">
      <c r="A2042" s="568"/>
      <c r="B2042" s="584" t="s">
        <v>1227</v>
      </c>
      <c r="C2042" s="577"/>
      <c r="G2042" s="612"/>
      <c r="H2042" s="598"/>
      <c r="I2042" s="598"/>
      <c r="J2042" s="598"/>
      <c r="K2042" s="581"/>
    </row>
    <row r="2043" spans="1:11">
      <c r="A2043" s="568"/>
      <c r="B2043" s="593" t="s">
        <v>586</v>
      </c>
      <c r="C2043" s="577"/>
      <c r="D2043" s="578">
        <v>3</v>
      </c>
      <c r="E2043" s="579" t="s">
        <v>8</v>
      </c>
      <c r="F2043" s="569">
        <v>8</v>
      </c>
      <c r="G2043" s="612"/>
      <c r="H2043" s="598"/>
      <c r="I2043" s="598"/>
      <c r="J2043" s="598">
        <f t="shared" ref="J2043" si="184">ROUNDUP(PRODUCT(D2043:I2043),2)</f>
        <v>24</v>
      </c>
      <c r="K2043" s="581"/>
    </row>
    <row r="2044" spans="1:11">
      <c r="A2044" s="568"/>
      <c r="B2044" s="622" t="s">
        <v>28</v>
      </c>
      <c r="C2044" s="577"/>
      <c r="G2044" s="612"/>
      <c r="H2044" s="598"/>
      <c r="I2044" s="598"/>
      <c r="J2044" s="614">
        <f>SUM(J2041:J2043)</f>
        <v>26</v>
      </c>
      <c r="K2044" s="576" t="s">
        <v>51</v>
      </c>
    </row>
    <row r="2045" spans="1:11">
      <c r="A2045" s="568" t="s">
        <v>528</v>
      </c>
      <c r="B2045" s="737" t="s">
        <v>1484</v>
      </c>
      <c r="C2045" s="738"/>
      <c r="D2045" s="738"/>
      <c r="E2045" s="738"/>
      <c r="F2045" s="738"/>
      <c r="G2045" s="738"/>
      <c r="H2045" s="738"/>
      <c r="I2045" s="738"/>
      <c r="J2045" s="738"/>
      <c r="K2045" s="739"/>
    </row>
    <row r="2046" spans="1:11">
      <c r="A2046" s="568"/>
      <c r="B2046" s="593" t="s">
        <v>1191</v>
      </c>
      <c r="C2046" s="577"/>
      <c r="D2046" s="578">
        <v>1</v>
      </c>
      <c r="E2046" s="579" t="s">
        <v>8</v>
      </c>
      <c r="F2046" s="569">
        <v>1</v>
      </c>
      <c r="G2046" s="612"/>
      <c r="H2046" s="598"/>
      <c r="I2046" s="598"/>
      <c r="J2046" s="598">
        <f>ROUNDUP(PRODUCT(D2046:I2046),2)</f>
        <v>1</v>
      </c>
      <c r="K2046" s="581"/>
    </row>
    <row r="2047" spans="1:11">
      <c r="A2047" s="568"/>
      <c r="B2047" s="622" t="s">
        <v>28</v>
      </c>
      <c r="C2047" s="577"/>
      <c r="G2047" s="612"/>
      <c r="H2047" s="598"/>
      <c r="I2047" s="598"/>
      <c r="J2047" s="614">
        <f>SUM(J2046)</f>
        <v>1</v>
      </c>
      <c r="K2047" s="576" t="s">
        <v>51</v>
      </c>
    </row>
    <row r="2048" spans="1:11" ht="213.75" customHeight="1">
      <c r="A2048" s="568">
        <f>+A2008+1</f>
        <v>22</v>
      </c>
      <c r="B2048" s="723" t="str">
        <f>'BOQ-C&amp;I'!C127</f>
        <v>UPVC VentilatorSpecification:Supplying and fixing UPVC (Un-Plasticized Polyvinyl Chloride) Louvered Ventilators of from the profile the size of outer frame 60mm x 58mm and shutter profile size of 60 x 78mm both profiles are reinforced with GI/1mm 125GSM and 100% corrosion free, the profile are multi chambered sections with wall thick of 2mm. The EPDM rubber (black colour) covered with all over the edges of frame and shutter.The corners and joints should be welded and cleaned.Radiations pin headed glass 4mm thick should be provided in the louvers. The window should be fixed to the wall with 100% packing with screws and silicon packing all round the frames. The ventilator should be got approved from the Executive Engineer before use on work</v>
      </c>
      <c r="C2048" s="723"/>
      <c r="D2048" s="723"/>
      <c r="E2048" s="723"/>
      <c r="F2048" s="723"/>
      <c r="G2048" s="723"/>
      <c r="H2048" s="723"/>
      <c r="I2048" s="723"/>
      <c r="J2048" s="723"/>
      <c r="K2048" s="723"/>
    </row>
    <row r="2049" spans="1:11">
      <c r="A2049" s="568"/>
      <c r="B2049" s="584" t="s">
        <v>12</v>
      </c>
      <c r="C2049" s="577"/>
      <c r="G2049" s="612"/>
      <c r="H2049" s="598"/>
      <c r="I2049" s="598"/>
      <c r="J2049" s="598"/>
      <c r="K2049" s="581"/>
    </row>
    <row r="2050" spans="1:11">
      <c r="A2050" s="568"/>
      <c r="B2050" s="593" t="s">
        <v>580</v>
      </c>
      <c r="C2050" s="577"/>
      <c r="D2050" s="578">
        <v>1</v>
      </c>
      <c r="E2050" s="579" t="s">
        <v>8</v>
      </c>
      <c r="F2050" s="569">
        <v>9</v>
      </c>
      <c r="G2050" s="612">
        <v>0.6</v>
      </c>
      <c r="H2050" s="598"/>
      <c r="I2050" s="598">
        <v>0.75</v>
      </c>
      <c r="J2050" s="598">
        <f>ROUNDUP(PRODUCT(D2050:I2050),2)</f>
        <v>4.05</v>
      </c>
      <c r="K2050" s="581"/>
    </row>
    <row r="2051" spans="1:11">
      <c r="A2051" s="568"/>
      <c r="B2051" s="593" t="s">
        <v>1922</v>
      </c>
      <c r="C2051" s="577"/>
      <c r="D2051" s="578">
        <v>1</v>
      </c>
      <c r="E2051" s="579" t="s">
        <v>8</v>
      </c>
      <c r="F2051" s="569">
        <v>1</v>
      </c>
      <c r="G2051" s="612">
        <v>0.6</v>
      </c>
      <c r="H2051" s="598"/>
      <c r="I2051" s="598">
        <v>0.75</v>
      </c>
      <c r="J2051" s="598">
        <f>ROUNDUP(PRODUCT(D2051:I2051),2)</f>
        <v>0.45</v>
      </c>
      <c r="K2051" s="581"/>
    </row>
    <row r="2052" spans="1:11">
      <c r="A2052" s="568"/>
      <c r="B2052" s="584" t="s">
        <v>1227</v>
      </c>
      <c r="C2052" s="577"/>
      <c r="G2052" s="612"/>
      <c r="H2052" s="598"/>
      <c r="I2052" s="598"/>
      <c r="J2052" s="598"/>
      <c r="K2052" s="581"/>
    </row>
    <row r="2053" spans="1:11">
      <c r="A2053" s="568"/>
      <c r="B2053" s="593" t="s">
        <v>580</v>
      </c>
      <c r="C2053" s="577"/>
      <c r="D2053" s="578">
        <v>3</v>
      </c>
      <c r="E2053" s="579" t="s">
        <v>8</v>
      </c>
      <c r="F2053" s="569">
        <v>13</v>
      </c>
      <c r="G2053" s="612">
        <v>0.6</v>
      </c>
      <c r="H2053" s="598"/>
      <c r="I2053" s="598">
        <v>0.75</v>
      </c>
      <c r="J2053" s="598">
        <f>ROUNDUP(PRODUCT(D2053:I2053),2)</f>
        <v>17.55</v>
      </c>
      <c r="K2053" s="581"/>
    </row>
    <row r="2054" spans="1:11">
      <c r="A2054" s="568"/>
      <c r="B2054" s="593"/>
      <c r="C2054" s="577"/>
      <c r="G2054" s="612"/>
      <c r="H2054" s="598"/>
      <c r="I2054" s="598"/>
      <c r="J2054" s="614">
        <f>SUM(J2049:J2053)</f>
        <v>22.05</v>
      </c>
      <c r="K2054" s="581"/>
    </row>
    <row r="2055" spans="1:11">
      <c r="A2055" s="568"/>
      <c r="B2055" s="593"/>
      <c r="C2055" s="577"/>
      <c r="G2055" s="612"/>
      <c r="H2055" s="598"/>
      <c r="I2055" s="598"/>
      <c r="J2055" s="605">
        <f>ROUNDUP(J2054,0)</f>
        <v>23</v>
      </c>
      <c r="K2055" s="576" t="s">
        <v>9</v>
      </c>
    </row>
    <row r="2056" spans="1:11">
      <c r="A2056" s="568"/>
      <c r="B2056" s="737" t="str">
        <f>'BOQ-C&amp;I'!C129</f>
        <v xml:space="preserve">IRON AND STEEL WORKS </v>
      </c>
      <c r="C2056" s="738"/>
      <c r="D2056" s="738"/>
      <c r="E2056" s="738"/>
      <c r="F2056" s="738"/>
      <c r="G2056" s="738"/>
      <c r="H2056" s="738"/>
      <c r="I2056" s="738"/>
      <c r="J2056" s="738"/>
      <c r="K2056" s="739"/>
    </row>
    <row r="2057" spans="1:11" ht="147.75" customHeight="1">
      <c r="A2057" s="568">
        <f>A2048+1</f>
        <v>23</v>
      </c>
      <c r="B2057" s="723" t="str">
        <f>'BOQ-C&amp;I'!C130</f>
        <v>Manufacturing, Supplying and Fixing of Stainless Steel Handrails for staircase using 50mm dia 304L Grade Stainless Steel pipe of 1.60mm thick at required locations to a height of 900mm from finished floor level welded to 38mm dia Stainless Steel pipe post of 1.00mm thick as vertical at 900mm centre with 2 Nos. of 25mm dia intermediate horizontal stainless steel pipe of 1.60mm thick in between.The vertical pipe has to be welded to the 100 X 100 X 6mm MS base plate encased in the base concrete. The rate is inclusive of the charges for cutting, bending, welding, grinding, polishing, conveyance, electrical charges, etc. complete</v>
      </c>
      <c r="C2057" s="723"/>
      <c r="D2057" s="723"/>
      <c r="E2057" s="723"/>
      <c r="F2057" s="723"/>
      <c r="G2057" s="723"/>
      <c r="H2057" s="723"/>
      <c r="I2057" s="723"/>
      <c r="J2057" s="723"/>
      <c r="K2057" s="723"/>
    </row>
    <row r="2058" spans="1:11">
      <c r="A2058" s="568"/>
      <c r="B2058" s="584" t="s">
        <v>511</v>
      </c>
      <c r="C2058" s="577"/>
      <c r="G2058" s="612"/>
      <c r="H2058" s="598"/>
      <c r="I2058" s="598"/>
      <c r="J2058" s="598"/>
      <c r="K2058" s="581"/>
    </row>
    <row r="2059" spans="1:11">
      <c r="A2059" s="568"/>
      <c r="B2059" s="593" t="s">
        <v>606</v>
      </c>
      <c r="C2059" s="577"/>
      <c r="D2059" s="578">
        <v>1</v>
      </c>
      <c r="E2059" s="579" t="s">
        <v>8</v>
      </c>
      <c r="F2059" s="569">
        <v>1</v>
      </c>
      <c r="G2059" s="612">
        <v>5.4</v>
      </c>
      <c r="H2059" s="598"/>
      <c r="I2059" s="598">
        <v>1</v>
      </c>
      <c r="J2059" s="598">
        <f t="shared" ref="J2059:J2060" si="185">ROUNDUP(PRODUCT(D2059:I2059),2)</f>
        <v>5.4</v>
      </c>
      <c r="K2059" s="581"/>
    </row>
    <row r="2060" spans="1:11">
      <c r="A2060" s="568"/>
      <c r="B2060" s="593" t="s">
        <v>1283</v>
      </c>
      <c r="C2060" s="577"/>
      <c r="D2060" s="578">
        <v>1</v>
      </c>
      <c r="E2060" s="579" t="s">
        <v>8</v>
      </c>
      <c r="F2060" s="569">
        <v>1</v>
      </c>
      <c r="G2060" s="612">
        <v>3</v>
      </c>
      <c r="H2060" s="598"/>
      <c r="I2060" s="598">
        <v>1</v>
      </c>
      <c r="J2060" s="598">
        <f t="shared" si="185"/>
        <v>3</v>
      </c>
      <c r="K2060" s="581"/>
    </row>
    <row r="2061" spans="1:11">
      <c r="A2061" s="568"/>
      <c r="B2061" s="593" t="s">
        <v>1284</v>
      </c>
      <c r="C2061" s="577"/>
      <c r="D2061" s="578">
        <v>1</v>
      </c>
      <c r="E2061" s="579" t="s">
        <v>8</v>
      </c>
      <c r="F2061" s="569">
        <v>8</v>
      </c>
      <c r="G2061" s="612">
        <v>4.5</v>
      </c>
      <c r="H2061" s="598"/>
      <c r="I2061" s="598">
        <v>1</v>
      </c>
      <c r="J2061" s="598">
        <f t="shared" ref="J2061:J2062" si="186">ROUNDUP(PRODUCT(D2061:I2061),2)</f>
        <v>36</v>
      </c>
      <c r="K2061" s="581"/>
    </row>
    <row r="2062" spans="1:11">
      <c r="A2062" s="568"/>
      <c r="B2062" s="593"/>
      <c r="C2062" s="577"/>
      <c r="D2062" s="578">
        <v>1</v>
      </c>
      <c r="E2062" s="579" t="s">
        <v>8</v>
      </c>
      <c r="F2062" s="569">
        <v>1</v>
      </c>
      <c r="G2062" s="612">
        <v>1.5</v>
      </c>
      <c r="H2062" s="598"/>
      <c r="I2062" s="598">
        <v>1</v>
      </c>
      <c r="J2062" s="598">
        <f t="shared" si="186"/>
        <v>1.5</v>
      </c>
      <c r="K2062" s="581"/>
    </row>
    <row r="2063" spans="1:11">
      <c r="A2063" s="568"/>
      <c r="B2063" s="593" t="s">
        <v>1285</v>
      </c>
      <c r="C2063" s="577"/>
      <c r="D2063" s="578">
        <v>1</v>
      </c>
      <c r="E2063" s="579" t="s">
        <v>8</v>
      </c>
      <c r="F2063" s="569">
        <v>8</v>
      </c>
      <c r="G2063" s="612">
        <v>4.5</v>
      </c>
      <c r="H2063" s="598"/>
      <c r="I2063" s="598">
        <v>1</v>
      </c>
      <c r="J2063" s="598">
        <f t="shared" ref="J2063:J2064" si="187">ROUNDUP(PRODUCT(D2063:I2063),2)</f>
        <v>36</v>
      </c>
      <c r="K2063" s="581"/>
    </row>
    <row r="2064" spans="1:11">
      <c r="A2064" s="568"/>
      <c r="B2064" s="593"/>
      <c r="C2064" s="577"/>
      <c r="D2064" s="578">
        <v>1</v>
      </c>
      <c r="E2064" s="579" t="s">
        <v>8</v>
      </c>
      <c r="F2064" s="569">
        <v>1</v>
      </c>
      <c r="G2064" s="612">
        <v>1.5</v>
      </c>
      <c r="H2064" s="598"/>
      <c r="I2064" s="598">
        <v>1</v>
      </c>
      <c r="J2064" s="598">
        <f t="shared" si="187"/>
        <v>1.5</v>
      </c>
      <c r="K2064" s="581"/>
    </row>
    <row r="2065" spans="1:11">
      <c r="A2065" s="568"/>
      <c r="B2065" s="593"/>
      <c r="C2065" s="577"/>
      <c r="G2065" s="612"/>
      <c r="H2065" s="598"/>
      <c r="I2065" s="598"/>
      <c r="J2065" s="614">
        <f>SUM(J2058:J2064)</f>
        <v>83.4</v>
      </c>
      <c r="K2065" s="581"/>
    </row>
    <row r="2066" spans="1:11">
      <c r="A2066" s="568"/>
      <c r="B2066" s="622" t="s">
        <v>28</v>
      </c>
      <c r="C2066" s="577"/>
      <c r="G2066" s="612"/>
      <c r="H2066" s="598"/>
      <c r="I2066" s="598"/>
      <c r="J2066" s="605">
        <f>ROUNDUP(J2065,0)</f>
        <v>84</v>
      </c>
      <c r="K2066" s="576" t="s">
        <v>9</v>
      </c>
    </row>
    <row r="2067" spans="1:11" ht="144" customHeight="1">
      <c r="A2067" s="568">
        <f>+A2057+1</f>
        <v>24</v>
      </c>
      <c r="B2067" s="734" t="str">
        <f>'BOQ-C&amp;I'!C131</f>
        <v>Wall HandrailManufacturing, Supplying and Fixing of Stainless Steel Handrails for staircase near wet riser using 50mm dia 304L Grade Stainless Steel pipe of 1.60mm thick will be provided with tubular supports made of 304L Grade Stainless Steel pipe of 25mm dia of 1.60mm thick welded to the railing. The supports will be grouted into the wall and provided with 93.00mm thick Stainless Steel circular base plate of 304 Grade. The rate shall included for grouting into concrete with necessary supporting arrangements the hand rail in floor polishing buffing, bonding, cutting, grinding, conveyance, welding charges, electrical charges, etc. complete</v>
      </c>
      <c r="C2067" s="735"/>
      <c r="D2067" s="735"/>
      <c r="E2067" s="735"/>
      <c r="F2067" s="735"/>
      <c r="G2067" s="735"/>
      <c r="H2067" s="735"/>
      <c r="I2067" s="735"/>
      <c r="J2067" s="735"/>
      <c r="K2067" s="736"/>
    </row>
    <row r="2068" spans="1:11">
      <c r="A2068" s="568"/>
      <c r="B2068" s="593" t="s">
        <v>1286</v>
      </c>
      <c r="C2068" s="577"/>
      <c r="D2068" s="578">
        <v>1</v>
      </c>
      <c r="E2068" s="579" t="s">
        <v>8</v>
      </c>
      <c r="F2068" s="569">
        <v>4</v>
      </c>
      <c r="G2068" s="612">
        <f>4.5+1.5+3.3+1.5+4.5</f>
        <v>15.3</v>
      </c>
      <c r="H2068" s="598"/>
      <c r="I2068" s="598"/>
      <c r="J2068" s="598">
        <f t="shared" ref="J2068" si="188">ROUNDUP(PRODUCT(D2068:I2068),2)</f>
        <v>61.2</v>
      </c>
      <c r="K2068" s="581"/>
    </row>
    <row r="2069" spans="1:11">
      <c r="A2069" s="568"/>
      <c r="B2069" s="593" t="s">
        <v>1285</v>
      </c>
      <c r="C2069" s="577"/>
      <c r="D2069" s="578">
        <v>1</v>
      </c>
      <c r="E2069" s="579" t="s">
        <v>8</v>
      </c>
      <c r="F2069" s="569">
        <v>4</v>
      </c>
      <c r="G2069" s="612">
        <f>4.5+1.5+3.3+1.5+4.5</f>
        <v>15.3</v>
      </c>
      <c r="H2069" s="598"/>
      <c r="I2069" s="598"/>
      <c r="J2069" s="598">
        <f t="shared" ref="J2069" si="189">ROUNDUP(PRODUCT(D2069:I2069),2)</f>
        <v>61.2</v>
      </c>
      <c r="K2069" s="581"/>
    </row>
    <row r="2070" spans="1:11">
      <c r="A2070" s="568"/>
      <c r="B2070" s="593"/>
      <c r="C2070" s="577"/>
      <c r="G2070" s="612"/>
      <c r="H2070" s="598"/>
      <c r="I2070" s="598"/>
      <c r="J2070" s="614">
        <f>SUM(J2068:J2069)</f>
        <v>122.4</v>
      </c>
      <c r="K2070" s="581"/>
    </row>
    <row r="2071" spans="1:11">
      <c r="A2071" s="568"/>
      <c r="B2071" s="622" t="s">
        <v>28</v>
      </c>
      <c r="C2071" s="577"/>
      <c r="G2071" s="612"/>
      <c r="H2071" s="598"/>
      <c r="I2071" s="598"/>
      <c r="J2071" s="605">
        <f>ROUNDUP(J2070,0)</f>
        <v>123</v>
      </c>
      <c r="K2071" s="576" t="s">
        <v>33</v>
      </c>
    </row>
    <row r="2072" spans="1:11" ht="196.15" customHeight="1">
      <c r="A2072" s="568">
        <f>+A2067+1</f>
        <v>25</v>
      </c>
      <c r="B2072" s="723" t="str">
        <f>'BOQ-C&amp;I'!C132</f>
        <v>Supplying, fabricating, erecting and fixing in position Monkey ladders and all miscellaneous steel works as shown in the drg. or as directed by the Engineer at all heights and levels using MS angles channels, rails, tees, plates, flats, rounds, squares etc., of various sizes and other structural steel sections.  The rate shall be inclusive of finishing the MS surfaces shall be painted with 2 Coats (each coat of 25 microns DFT) of red oxide zinc phosphate primer and 2 Coats (each coat of 35 microns DFT) of synthetic enamel paint of approved colour and makeRate including all materials, labour charges, wastages, necessary lead and lifts, transportation charges, loading, unloading, scaffolding, staging, straightening, cutting, fabricating, welding, bending to shape bolting, installation charges, fuel, consumables,  tools and tackles as complete with all respects complying with relevant standard specification and as directed by the   departmental officers.</v>
      </c>
      <c r="C2072" s="723"/>
      <c r="D2072" s="723"/>
      <c r="E2072" s="723"/>
      <c r="F2072" s="723"/>
      <c r="G2072" s="723"/>
      <c r="H2072" s="723"/>
      <c r="I2072" s="723"/>
      <c r="J2072" s="723"/>
      <c r="K2072" s="723"/>
    </row>
    <row r="2073" spans="1:11">
      <c r="A2073" s="568" t="s">
        <v>71</v>
      </c>
      <c r="B2073" s="584" t="s">
        <v>1287</v>
      </c>
      <c r="C2073" s="577"/>
      <c r="G2073" s="650" t="s">
        <v>1291</v>
      </c>
      <c r="H2073" s="618"/>
      <c r="I2073" s="618" t="s">
        <v>1290</v>
      </c>
      <c r="J2073" s="658"/>
      <c r="K2073" s="571"/>
    </row>
    <row r="2074" spans="1:11">
      <c r="A2074" s="568"/>
      <c r="B2074" s="593" t="s">
        <v>1288</v>
      </c>
      <c r="C2074" s="577"/>
      <c r="D2074" s="578">
        <v>1</v>
      </c>
      <c r="E2074" s="579" t="s">
        <v>8</v>
      </c>
      <c r="F2074" s="569">
        <v>2</v>
      </c>
      <c r="G2074" s="612">
        <v>3.1</v>
      </c>
      <c r="H2074" s="598"/>
      <c r="I2074" s="598">
        <v>14.9</v>
      </c>
      <c r="J2074" s="598">
        <f t="shared" ref="J2074:J2077" si="190">ROUNDUP(PRODUCT(D2074:I2074),2)</f>
        <v>92.38</v>
      </c>
      <c r="K2074" s="576"/>
    </row>
    <row r="2075" spans="1:11">
      <c r="A2075" s="568"/>
      <c r="B2075" s="593" t="s">
        <v>1289</v>
      </c>
      <c r="C2075" s="577"/>
      <c r="D2075" s="578">
        <v>1</v>
      </c>
      <c r="E2075" s="579" t="s">
        <v>8</v>
      </c>
      <c r="F2075" s="569">
        <v>12</v>
      </c>
      <c r="G2075" s="612">
        <v>0.6</v>
      </c>
      <c r="H2075" s="598"/>
      <c r="I2075" s="598">
        <v>5.89</v>
      </c>
      <c r="J2075" s="598">
        <f t="shared" si="190"/>
        <v>42.41</v>
      </c>
      <c r="K2075" s="576"/>
    </row>
    <row r="2076" spans="1:11">
      <c r="A2076" s="568"/>
      <c r="B2076" s="593" t="s">
        <v>1292</v>
      </c>
      <c r="C2076" s="577"/>
      <c r="D2076" s="578">
        <v>1</v>
      </c>
      <c r="E2076" s="579" t="s">
        <v>8</v>
      </c>
      <c r="F2076" s="569">
        <v>2</v>
      </c>
      <c r="G2076" s="612">
        <v>3.1</v>
      </c>
      <c r="H2076" s="598"/>
      <c r="I2076" s="598">
        <v>3.4</v>
      </c>
      <c r="J2076" s="598">
        <f t="shared" si="190"/>
        <v>21.08</v>
      </c>
      <c r="K2076" s="576"/>
    </row>
    <row r="2077" spans="1:11">
      <c r="A2077" s="568"/>
      <c r="B2077" s="593" t="s">
        <v>1293</v>
      </c>
      <c r="C2077" s="577"/>
      <c r="D2077" s="578">
        <v>1</v>
      </c>
      <c r="E2077" s="579" t="s">
        <v>8</v>
      </c>
      <c r="F2077" s="569">
        <v>1</v>
      </c>
      <c r="G2077" s="612">
        <v>0.6</v>
      </c>
      <c r="H2077" s="598"/>
      <c r="I2077" s="598">
        <v>7.85</v>
      </c>
      <c r="J2077" s="598">
        <f t="shared" si="190"/>
        <v>4.71</v>
      </c>
      <c r="K2077" s="576"/>
    </row>
    <row r="2078" spans="1:11">
      <c r="A2078" s="568"/>
      <c r="B2078" s="593"/>
      <c r="C2078" s="577"/>
      <c r="G2078" s="612"/>
      <c r="H2078" s="598"/>
      <c r="I2078" s="598"/>
      <c r="J2078" s="614">
        <f>SUM(J2074:J2077)</f>
        <v>160.58000000000001</v>
      </c>
      <c r="K2078" s="576"/>
    </row>
    <row r="2079" spans="1:11">
      <c r="A2079" s="568"/>
      <c r="B2079" s="593"/>
      <c r="C2079" s="577"/>
      <c r="G2079" s="612"/>
      <c r="H2079" s="598"/>
      <c r="I2079" s="598"/>
      <c r="J2079" s="605">
        <f>ROUNDUP(J2078,0)</f>
        <v>161</v>
      </c>
      <c r="K2079" s="576" t="s">
        <v>471</v>
      </c>
    </row>
    <row r="2080" spans="1:11">
      <c r="A2080" s="568" t="s">
        <v>70</v>
      </c>
      <c r="B2080" s="584" t="s">
        <v>1294</v>
      </c>
      <c r="C2080" s="577"/>
      <c r="G2080" s="650" t="s">
        <v>1291</v>
      </c>
      <c r="H2080" s="618"/>
      <c r="I2080" s="618" t="s">
        <v>1290</v>
      </c>
      <c r="J2080" s="658"/>
      <c r="K2080" s="571"/>
    </row>
    <row r="2081" spans="1:11">
      <c r="A2081" s="568"/>
      <c r="B2081" s="593" t="s">
        <v>1288</v>
      </c>
      <c r="C2081" s="577"/>
      <c r="D2081" s="578">
        <v>1</v>
      </c>
      <c r="E2081" s="579" t="s">
        <v>8</v>
      </c>
      <c r="F2081" s="569">
        <v>2</v>
      </c>
      <c r="G2081" s="612">
        <v>3.6</v>
      </c>
      <c r="H2081" s="598"/>
      <c r="I2081" s="598">
        <v>14.9</v>
      </c>
      <c r="J2081" s="598">
        <f t="shared" ref="J2081:J2084" si="191">ROUNDUP(PRODUCT(D2081:I2081),2)</f>
        <v>107.28</v>
      </c>
      <c r="K2081" s="576"/>
    </row>
    <row r="2082" spans="1:11">
      <c r="A2082" s="568"/>
      <c r="B2082" s="593" t="s">
        <v>1289</v>
      </c>
      <c r="C2082" s="577"/>
      <c r="D2082" s="578">
        <v>1</v>
      </c>
      <c r="E2082" s="579" t="s">
        <v>8</v>
      </c>
      <c r="F2082" s="569">
        <v>13</v>
      </c>
      <c r="G2082" s="612">
        <v>0.6</v>
      </c>
      <c r="H2082" s="598"/>
      <c r="I2082" s="598">
        <v>5.89</v>
      </c>
      <c r="J2082" s="598">
        <f t="shared" si="191"/>
        <v>45.949999999999996</v>
      </c>
      <c r="K2082" s="576"/>
    </row>
    <row r="2083" spans="1:11">
      <c r="A2083" s="568"/>
      <c r="B2083" s="593" t="s">
        <v>1292</v>
      </c>
      <c r="C2083" s="577"/>
      <c r="D2083" s="578">
        <v>1</v>
      </c>
      <c r="E2083" s="579" t="s">
        <v>8</v>
      </c>
      <c r="F2083" s="569">
        <v>2</v>
      </c>
      <c r="G2083" s="612">
        <v>3.6</v>
      </c>
      <c r="H2083" s="598"/>
      <c r="I2083" s="598">
        <v>3.4</v>
      </c>
      <c r="J2083" s="598">
        <f t="shared" si="191"/>
        <v>24.48</v>
      </c>
      <c r="K2083" s="576"/>
    </row>
    <row r="2084" spans="1:11">
      <c r="A2084" s="568"/>
      <c r="B2084" s="593" t="s">
        <v>1293</v>
      </c>
      <c r="C2084" s="577"/>
      <c r="D2084" s="578">
        <v>1</v>
      </c>
      <c r="E2084" s="579" t="s">
        <v>8</v>
      </c>
      <c r="F2084" s="569">
        <v>1</v>
      </c>
      <c r="G2084" s="612">
        <v>0.6</v>
      </c>
      <c r="H2084" s="598"/>
      <c r="I2084" s="598">
        <v>7.85</v>
      </c>
      <c r="J2084" s="598">
        <f t="shared" si="191"/>
        <v>4.71</v>
      </c>
      <c r="K2084" s="576"/>
    </row>
    <row r="2085" spans="1:11">
      <c r="A2085" s="568"/>
      <c r="B2085" s="593"/>
      <c r="C2085" s="577"/>
      <c r="G2085" s="612"/>
      <c r="H2085" s="598"/>
      <c r="I2085" s="598"/>
      <c r="J2085" s="614">
        <f>SUM(J2081:J2084)</f>
        <v>182.42</v>
      </c>
      <c r="K2085" s="576"/>
    </row>
    <row r="2086" spans="1:11">
      <c r="A2086" s="568"/>
      <c r="B2086" s="593"/>
      <c r="C2086" s="577"/>
      <c r="G2086" s="612"/>
      <c r="H2086" s="598"/>
      <c r="I2086" s="598"/>
      <c r="J2086" s="605">
        <f>ROUNDUP(J2085,0)</f>
        <v>183</v>
      </c>
      <c r="K2086" s="576" t="s">
        <v>471</v>
      </c>
    </row>
    <row r="2087" spans="1:11">
      <c r="A2087" s="568"/>
      <c r="B2087" s="622" t="s">
        <v>28</v>
      </c>
      <c r="C2087" s="577"/>
      <c r="G2087" s="612"/>
      <c r="H2087" s="598"/>
      <c r="I2087" s="598"/>
      <c r="J2087" s="614">
        <f>J2086+J2079</f>
        <v>344</v>
      </c>
      <c r="K2087" s="576" t="s">
        <v>471</v>
      </c>
    </row>
    <row r="2088" spans="1:11" ht="114.6" customHeight="1">
      <c r="A2088" s="568">
        <f>+A2072+1</f>
        <v>26</v>
      </c>
      <c r="B2088" s="723" t="str">
        <f>'BOQ-C&amp;I'!C133</f>
        <v>Providing  and  fixing welded M.S. grills for the window openings and any openings as per drawing  with   necessary screws, bolts and  fixed with  necessary  M.S. lugs embedded in masonry with C.C. 1:2:4 and finishing the surface neatly. Rate shall include for  two   coats   of  first  quality  synthetic   enamel paint  over  a coat of  zinc phosphate primer, necessary tools &amp; plants, welding and consumables, etc. complete, as directed. Design of grills and the size of members to be used shall be got approval before put into use &amp; as directed by the departmental officers.</v>
      </c>
      <c r="C2088" s="723"/>
      <c r="D2088" s="723"/>
      <c r="E2088" s="723"/>
      <c r="F2088" s="723"/>
      <c r="G2088" s="723"/>
      <c r="H2088" s="723"/>
      <c r="I2088" s="723"/>
      <c r="J2088" s="723"/>
      <c r="K2088" s="723"/>
    </row>
    <row r="2089" spans="1:11">
      <c r="A2089" s="568"/>
      <c r="B2089" s="593" t="s">
        <v>579</v>
      </c>
      <c r="C2089" s="577"/>
      <c r="D2089" s="578">
        <v>1</v>
      </c>
      <c r="E2089" s="579" t="s">
        <v>8</v>
      </c>
      <c r="F2089" s="663">
        <f>J2014</f>
        <v>37</v>
      </c>
      <c r="G2089" s="612">
        <v>1.5</v>
      </c>
      <c r="H2089" s="598"/>
      <c r="I2089" s="598">
        <v>1.2</v>
      </c>
      <c r="J2089" s="598">
        <f t="shared" ref="J2089:J2097" si="192">ROUNDUP(PRODUCT(D2089:I2089),2)</f>
        <v>66.599999999999994</v>
      </c>
      <c r="K2089" s="581"/>
    </row>
    <row r="2090" spans="1:11">
      <c r="A2090" s="568"/>
      <c r="B2090" s="593" t="s">
        <v>586</v>
      </c>
      <c r="C2090" s="577"/>
      <c r="D2090" s="578">
        <v>1</v>
      </c>
      <c r="E2090" s="579" t="s">
        <v>8</v>
      </c>
      <c r="F2090" s="663">
        <f>J2044</f>
        <v>26</v>
      </c>
      <c r="G2090" s="612">
        <v>2.15</v>
      </c>
      <c r="H2090" s="598"/>
      <c r="I2090" s="598">
        <v>1.2</v>
      </c>
      <c r="J2090" s="598">
        <f t="shared" si="192"/>
        <v>67.08</v>
      </c>
      <c r="K2090" s="581"/>
    </row>
    <row r="2091" spans="1:11">
      <c r="A2091" s="568"/>
      <c r="B2091" s="593" t="s">
        <v>587</v>
      </c>
      <c r="C2091" s="577"/>
      <c r="D2091" s="578">
        <v>1</v>
      </c>
      <c r="E2091" s="579" t="s">
        <v>8</v>
      </c>
      <c r="F2091" s="663">
        <f>J2020</f>
        <v>6</v>
      </c>
      <c r="G2091" s="612">
        <v>1.2</v>
      </c>
      <c r="H2091" s="598"/>
      <c r="I2091" s="598">
        <v>1.2</v>
      </c>
      <c r="J2091" s="598">
        <f t="shared" si="192"/>
        <v>8.64</v>
      </c>
      <c r="K2091" s="581"/>
    </row>
    <row r="2092" spans="1:11">
      <c r="A2092" s="568"/>
      <c r="B2092" s="593" t="s">
        <v>1226</v>
      </c>
      <c r="C2092" s="577"/>
      <c r="D2092" s="578">
        <v>1</v>
      </c>
      <c r="E2092" s="579" t="s">
        <v>8</v>
      </c>
      <c r="F2092" s="663">
        <f>J2038</f>
        <v>0</v>
      </c>
      <c r="G2092" s="612">
        <v>1.5</v>
      </c>
      <c r="H2092" s="598"/>
      <c r="I2092" s="598">
        <v>1.95</v>
      </c>
      <c r="J2092" s="598">
        <f t="shared" si="192"/>
        <v>0</v>
      </c>
      <c r="K2092" s="581"/>
    </row>
    <row r="2093" spans="1:11">
      <c r="A2093" s="568"/>
      <c r="B2093" s="593" t="s">
        <v>1191</v>
      </c>
      <c r="C2093" s="577"/>
      <c r="D2093" s="578">
        <v>1</v>
      </c>
      <c r="E2093" s="579" t="s">
        <v>8</v>
      </c>
      <c r="F2093" s="663">
        <f>J2047</f>
        <v>1</v>
      </c>
      <c r="G2093" s="612">
        <v>2.15</v>
      </c>
      <c r="H2093" s="598"/>
      <c r="I2093" s="598">
        <v>0.9</v>
      </c>
      <c r="J2093" s="598">
        <f t="shared" si="192"/>
        <v>1.94</v>
      </c>
      <c r="K2093" s="581"/>
    </row>
    <row r="2094" spans="1:11">
      <c r="A2094" s="568"/>
      <c r="B2094" s="593" t="s">
        <v>1192</v>
      </c>
      <c r="C2094" s="577"/>
      <c r="D2094" s="578">
        <v>1</v>
      </c>
      <c r="E2094" s="579" t="s">
        <v>8</v>
      </c>
      <c r="F2094" s="663">
        <f>J2024</f>
        <v>1</v>
      </c>
      <c r="G2094" s="612">
        <v>1.2</v>
      </c>
      <c r="H2094" s="598"/>
      <c r="I2094" s="598">
        <v>0.9</v>
      </c>
      <c r="J2094" s="598">
        <f t="shared" si="192"/>
        <v>1.08</v>
      </c>
      <c r="K2094" s="581"/>
    </row>
    <row r="2095" spans="1:11">
      <c r="A2095" s="568"/>
      <c r="B2095" s="593" t="s">
        <v>1217</v>
      </c>
      <c r="C2095" s="577"/>
      <c r="D2095" s="578">
        <v>1</v>
      </c>
      <c r="E2095" s="579" t="s">
        <v>8</v>
      </c>
      <c r="F2095" s="663">
        <f>J2027+J2030</f>
        <v>6</v>
      </c>
      <c r="G2095" s="612">
        <v>1.5</v>
      </c>
      <c r="H2095" s="598"/>
      <c r="I2095" s="598">
        <v>0.75</v>
      </c>
      <c r="J2095" s="598">
        <f t="shared" si="192"/>
        <v>6.75</v>
      </c>
      <c r="K2095" s="581"/>
    </row>
    <row r="2096" spans="1:11">
      <c r="A2096" s="568"/>
      <c r="B2096" s="593" t="s">
        <v>1245</v>
      </c>
      <c r="C2096" s="577"/>
      <c r="D2096" s="578">
        <v>1</v>
      </c>
      <c r="E2096" s="579" t="s">
        <v>8</v>
      </c>
      <c r="F2096" s="663">
        <f>J2033+J2031+J2028</f>
        <v>8</v>
      </c>
      <c r="G2096" s="612">
        <v>1.5</v>
      </c>
      <c r="H2096" s="598"/>
      <c r="I2096" s="598">
        <v>0.75</v>
      </c>
      <c r="J2096" s="598">
        <f t="shared" si="192"/>
        <v>9</v>
      </c>
      <c r="K2096" s="581"/>
    </row>
    <row r="2097" spans="1:11">
      <c r="A2097" s="568"/>
      <c r="B2097" s="593" t="s">
        <v>580</v>
      </c>
      <c r="C2097" s="577"/>
      <c r="D2097" s="578">
        <v>1</v>
      </c>
      <c r="E2097" s="579" t="s">
        <v>8</v>
      </c>
      <c r="F2097" s="663">
        <v>51</v>
      </c>
      <c r="G2097" s="612">
        <v>0.6</v>
      </c>
      <c r="H2097" s="598"/>
      <c r="I2097" s="612">
        <v>0.6</v>
      </c>
      <c r="J2097" s="598">
        <f t="shared" si="192"/>
        <v>18.36</v>
      </c>
      <c r="K2097" s="581"/>
    </row>
    <row r="2098" spans="1:11">
      <c r="A2098" s="568"/>
      <c r="B2098" s="593" t="s">
        <v>590</v>
      </c>
      <c r="C2098" s="577"/>
      <c r="D2098" s="578">
        <v>1</v>
      </c>
      <c r="E2098" s="579" t="s">
        <v>8</v>
      </c>
      <c r="F2098" s="663">
        <v>1</v>
      </c>
      <c r="G2098" s="612">
        <v>2</v>
      </c>
      <c r="H2098" s="598"/>
      <c r="I2098" s="612">
        <v>2.1</v>
      </c>
      <c r="J2098" s="598">
        <f t="shared" ref="J2098:J2099" si="193">ROUNDUP(PRODUCT(D2098:I2098),2)</f>
        <v>4.2</v>
      </c>
      <c r="K2098" s="581"/>
    </row>
    <row r="2099" spans="1:11">
      <c r="A2099" s="568"/>
      <c r="B2099" s="593" t="s">
        <v>1332</v>
      </c>
      <c r="C2099" s="577"/>
      <c r="D2099" s="578">
        <v>1</v>
      </c>
      <c r="E2099" s="579" t="s">
        <v>8</v>
      </c>
      <c r="F2099" s="663">
        <v>2</v>
      </c>
      <c r="G2099" s="612">
        <v>0.9</v>
      </c>
      <c r="H2099" s="598"/>
      <c r="I2099" s="612">
        <v>2.1</v>
      </c>
      <c r="J2099" s="598">
        <f t="shared" si="193"/>
        <v>3.78</v>
      </c>
      <c r="K2099" s="581"/>
    </row>
    <row r="2100" spans="1:11">
      <c r="A2100" s="568"/>
      <c r="B2100" s="593" t="s">
        <v>1333</v>
      </c>
      <c r="C2100" s="577"/>
      <c r="D2100" s="578">
        <v>1</v>
      </c>
      <c r="E2100" s="579" t="s">
        <v>8</v>
      </c>
      <c r="F2100" s="663">
        <v>2</v>
      </c>
      <c r="G2100" s="612">
        <v>0.9</v>
      </c>
      <c r="H2100" s="598"/>
      <c r="I2100" s="612">
        <v>2.1</v>
      </c>
      <c r="J2100" s="598">
        <f t="shared" ref="J2100" si="194">ROUNDUP(PRODUCT(D2100:I2100),2)</f>
        <v>3.78</v>
      </c>
      <c r="K2100" s="581"/>
    </row>
    <row r="2101" spans="1:11">
      <c r="A2101" s="568"/>
      <c r="B2101" s="593"/>
      <c r="C2101" s="577"/>
      <c r="G2101" s="612"/>
      <c r="H2101" s="659"/>
      <c r="I2101" s="612"/>
      <c r="J2101" s="605">
        <f>SUM(J2089:J2100)*30</f>
        <v>5736.2999999999993</v>
      </c>
      <c r="K2101" s="581"/>
    </row>
    <row r="2102" spans="1:11">
      <c r="A2102" s="568"/>
      <c r="B2102" s="622" t="s">
        <v>28</v>
      </c>
      <c r="C2102" s="577"/>
      <c r="G2102" s="612"/>
      <c r="H2102" s="717" t="s">
        <v>569</v>
      </c>
      <c r="I2102" s="718"/>
      <c r="J2102" s="605">
        <f>ROUNDUP(J2101,0)</f>
        <v>5737</v>
      </c>
      <c r="K2102" s="576" t="s">
        <v>471</v>
      </c>
    </row>
    <row r="2103" spans="1:11">
      <c r="A2103" s="568"/>
      <c r="B2103" s="593"/>
      <c r="C2103" s="577"/>
      <c r="G2103" s="612"/>
      <c r="H2103" s="598"/>
      <c r="I2103" s="598"/>
      <c r="J2103" s="598"/>
      <c r="K2103" s="581"/>
    </row>
    <row r="2104" spans="1:11">
      <c r="A2104" s="568"/>
      <c r="B2104" s="584" t="str">
        <f>'BOQ-C&amp;I'!C135</f>
        <v>FLOORING WORKS</v>
      </c>
      <c r="C2104" s="577"/>
      <c r="G2104" s="612"/>
      <c r="H2104" s="598"/>
      <c r="I2104" s="598"/>
      <c r="J2104" s="598"/>
      <c r="K2104" s="581"/>
    </row>
    <row r="2105" spans="1:11" ht="192.6" customHeight="1">
      <c r="A2105" s="568">
        <f>A2088+1</f>
        <v>27</v>
      </c>
      <c r="B2105" s="730" t="str">
        <f>'BOQ-C&amp;I'!C136</f>
        <v>Providing and laying in panels not more than 20 sqm. in plan Granolithic flooring with cement concrete 1:1.5:3 (1 of cement : 1.5 of M.Sand : 3 of stone aggregate) by using coarse graded aggregate of 6 to 12 mm size laid monolithic with floor concrete and finished smooth with power trowel including preparation of concrete surface and form work.  The screed shall be laid for effective separation of panels not exceeding 20 sqm in plan etc and Unevenness in floor finish shall not exceed +2mm in one square metre area. Including sprinkling  of Nitoflor Hardtop Standard evenly a shake on a ready mixed non-metallic monolithic floor hardening compound with very hard granulates of mineral origin over concrete floor when the concrete in green and touch dry condition at the rate of 5 Kgs/Sqm. Nitoflor Hardtop Standard shall possess a compressive strength of 50N/mm² as per IS: 516-1959, Moh's hardness not less than 8,  as per specification and instructions of the manufacturer.</v>
      </c>
      <c r="C2105" s="731"/>
      <c r="D2105" s="731"/>
      <c r="E2105" s="731"/>
      <c r="F2105" s="731"/>
      <c r="G2105" s="731"/>
      <c r="H2105" s="731"/>
      <c r="I2105" s="731"/>
      <c r="J2105" s="731"/>
      <c r="K2105" s="732"/>
    </row>
    <row r="2106" spans="1:11" ht="88.5" customHeight="1">
      <c r="A2106" s="568"/>
      <c r="B2106" s="730" t="str">
        <f>'BOQ-C&amp;I'!C137</f>
        <v>Rate including all materials, labour charges, wastages, necessary lead and lifts, working at all levels, necessary formwork,  transportation charges, pumping, loading, unloading, preparation of surface, necessary hacking in RCC surface, power trowel, smooth finishing, fixing of screed drips, tools and plants, fuel, curing as complete with all respects complying with relevant standard specification and as directed by the departmental officers.</v>
      </c>
      <c r="C2106" s="731"/>
      <c r="D2106" s="731"/>
      <c r="E2106" s="731"/>
      <c r="F2106" s="731"/>
      <c r="G2106" s="731"/>
      <c r="H2106" s="731"/>
      <c r="I2106" s="731"/>
      <c r="J2106" s="731"/>
      <c r="K2106" s="732"/>
    </row>
    <row r="2107" spans="1:11">
      <c r="A2107" s="568" t="s">
        <v>71</v>
      </c>
      <c r="B2107" s="584" t="str">
        <f>'BOQ-C&amp;I'!C138</f>
        <v>50mm thick</v>
      </c>
      <c r="C2107" s="577"/>
      <c r="G2107" s="612"/>
      <c r="H2107" s="598"/>
      <c r="I2107" s="598"/>
      <c r="J2107" s="598"/>
      <c r="K2107" s="581"/>
    </row>
    <row r="2108" spans="1:11">
      <c r="A2108" s="568"/>
      <c r="B2108" s="584" t="s">
        <v>12</v>
      </c>
      <c r="C2108" s="577"/>
      <c r="G2108" s="612"/>
      <c r="H2108" s="598"/>
      <c r="I2108" s="598"/>
      <c r="J2108" s="598"/>
      <c r="K2108" s="581"/>
    </row>
    <row r="2109" spans="1:11">
      <c r="A2109" s="568"/>
      <c r="B2109" s="593" t="s">
        <v>545</v>
      </c>
      <c r="C2109" s="577"/>
      <c r="D2109" s="578">
        <v>1</v>
      </c>
      <c r="E2109" s="579" t="s">
        <v>8</v>
      </c>
      <c r="F2109" s="569">
        <v>1</v>
      </c>
      <c r="G2109" s="659">
        <v>3.8</v>
      </c>
      <c r="H2109" s="598">
        <v>6.4</v>
      </c>
      <c r="I2109" s="598"/>
      <c r="J2109" s="598">
        <f t="shared" ref="J2109:J2110" si="195">ROUNDUP(PRODUCT(D2109:I2109),2)</f>
        <v>24.32</v>
      </c>
      <c r="K2109" s="581"/>
    </row>
    <row r="2110" spans="1:11">
      <c r="A2110" s="568"/>
      <c r="B2110" s="593" t="s">
        <v>584</v>
      </c>
      <c r="C2110" s="577"/>
      <c r="D2110" s="578">
        <v>1</v>
      </c>
      <c r="E2110" s="579" t="s">
        <v>8</v>
      </c>
      <c r="F2110" s="569">
        <v>1</v>
      </c>
      <c r="G2110" s="659">
        <v>5.07</v>
      </c>
      <c r="H2110" s="598">
        <v>5</v>
      </c>
      <c r="I2110" s="598"/>
      <c r="J2110" s="598">
        <f t="shared" si="195"/>
        <v>25.35</v>
      </c>
      <c r="K2110" s="581"/>
    </row>
    <row r="2111" spans="1:11">
      <c r="A2111" s="568"/>
      <c r="B2111" s="593"/>
      <c r="C2111" s="577"/>
      <c r="G2111" s="667"/>
      <c r="H2111" s="650"/>
      <c r="I2111" s="598"/>
      <c r="J2111" s="614">
        <f>SUM(J2109:J2110)</f>
        <v>49.67</v>
      </c>
      <c r="K2111" s="581"/>
    </row>
    <row r="2112" spans="1:11">
      <c r="A2112" s="568"/>
      <c r="B2112" s="622" t="s">
        <v>28</v>
      </c>
      <c r="C2112" s="577"/>
      <c r="G2112" s="612"/>
      <c r="H2112" s="598"/>
      <c r="I2112" s="598"/>
      <c r="J2112" s="605">
        <f>ROUNDUP(J2111,0)</f>
        <v>50</v>
      </c>
      <c r="K2112" s="576" t="s">
        <v>9</v>
      </c>
    </row>
    <row r="2113" spans="1:11">
      <c r="A2113" s="568"/>
      <c r="B2113" s="622"/>
      <c r="C2113" s="577"/>
      <c r="G2113" s="612"/>
      <c r="H2113" s="598"/>
      <c r="I2113" s="598"/>
      <c r="J2113" s="605"/>
      <c r="K2113" s="576"/>
    </row>
    <row r="2114" spans="1:11" ht="62.25" customHeight="1">
      <c r="A2114" s="568">
        <f>+A2105+1</f>
        <v>28</v>
      </c>
      <c r="B2114" s="727" t="str">
        <f>'BOQ-C&amp;I'!C140</f>
        <v>Providing and applying 6mm thick Polyurethane Flooring, seamless, solvent-free, moisture insensitive and anti-microbial polyurethane concrete flooring system, matching below mentioned performance properties:</v>
      </c>
      <c r="C2114" s="728"/>
      <c r="D2114" s="728"/>
      <c r="E2114" s="728"/>
      <c r="F2114" s="728"/>
      <c r="G2114" s="728"/>
      <c r="H2114" s="728"/>
      <c r="I2114" s="728"/>
      <c r="J2114" s="728"/>
      <c r="K2114" s="729"/>
    </row>
    <row r="2115" spans="1:11" ht="18" customHeight="1">
      <c r="A2115" s="568"/>
      <c r="B2115" s="727" t="str">
        <f>'BOQ-C&amp;I'!C141</f>
        <v>FIRE RESISTANCE - Surface spread of flames : Class 2.</v>
      </c>
      <c r="C2115" s="728"/>
      <c r="D2115" s="728"/>
      <c r="E2115" s="728"/>
      <c r="F2115" s="728"/>
      <c r="G2115" s="728"/>
      <c r="H2115" s="728"/>
      <c r="I2115" s="728"/>
      <c r="J2115" s="728"/>
      <c r="K2115" s="729"/>
    </row>
    <row r="2116" spans="1:11" ht="18" customHeight="1">
      <c r="A2116" s="568"/>
      <c r="B2116" s="727" t="str">
        <f>'BOQ-C&amp;I'!C142</f>
        <v>THERMAL RESISTANCE - Tolerant up to 100  ̊C intermittent spillages or constant 90  ̊C  dry heat at 5 mm thickness</v>
      </c>
      <c r="C2116" s="728"/>
      <c r="D2116" s="728"/>
      <c r="E2116" s="728"/>
      <c r="F2116" s="728"/>
      <c r="G2116" s="728"/>
      <c r="H2116" s="728"/>
      <c r="I2116" s="728"/>
      <c r="J2116" s="728"/>
      <c r="K2116" s="729"/>
    </row>
    <row r="2117" spans="1:11" ht="18" customHeight="1">
      <c r="A2117" s="568"/>
      <c r="B2117" s="727" t="str">
        <f>'BOQ-C&amp;I'!C143</f>
        <v>ABRASION RESISTANCE: 25mg loss per 1000Cycles</v>
      </c>
      <c r="C2117" s="728"/>
      <c r="D2117" s="728"/>
      <c r="E2117" s="728"/>
      <c r="F2117" s="728"/>
      <c r="G2117" s="728"/>
      <c r="H2117" s="728"/>
      <c r="I2117" s="728"/>
      <c r="J2117" s="728"/>
      <c r="K2117" s="729"/>
    </row>
    <row r="2118" spans="1:11" ht="18" customHeight="1">
      <c r="A2118" s="568"/>
      <c r="B2118" s="727" t="str">
        <f>'BOQ-C&amp;I'!C144</f>
        <v xml:space="preserve">COMPRESSIVE STRENGTH: &gt;50 N/mm </v>
      </c>
      <c r="C2118" s="728"/>
      <c r="D2118" s="728"/>
      <c r="E2118" s="728"/>
      <c r="F2118" s="728"/>
      <c r="G2118" s="728"/>
      <c r="H2118" s="728"/>
      <c r="I2118" s="728"/>
      <c r="J2118" s="728"/>
      <c r="K2118" s="729"/>
    </row>
    <row r="2119" spans="1:11" ht="18" customHeight="1">
      <c r="A2119" s="568"/>
      <c r="B2119" s="727" t="str">
        <f>'BOQ-C&amp;I'!C145</f>
        <v xml:space="preserve">FLEXURAL STRENGTH: &gt;20N/mm </v>
      </c>
      <c r="C2119" s="728"/>
      <c r="D2119" s="728"/>
      <c r="E2119" s="728"/>
      <c r="F2119" s="728"/>
      <c r="G2119" s="728"/>
      <c r="H2119" s="728"/>
      <c r="I2119" s="728"/>
      <c r="J2119" s="728"/>
      <c r="K2119" s="729"/>
    </row>
    <row r="2120" spans="1:11" ht="18" customHeight="1">
      <c r="A2120" s="568"/>
      <c r="B2120" s="727" t="str">
        <f>'BOQ-C&amp;I'!C146</f>
        <v xml:space="preserve">TENSILE STRENGTH: &gt;10N/mm </v>
      </c>
      <c r="C2120" s="728"/>
      <c r="D2120" s="728"/>
      <c r="E2120" s="728"/>
      <c r="F2120" s="728"/>
      <c r="G2120" s="728"/>
      <c r="H2120" s="728"/>
      <c r="I2120" s="728"/>
      <c r="J2120" s="728"/>
      <c r="K2120" s="729"/>
    </row>
    <row r="2121" spans="1:11" ht="84" customHeight="1">
      <c r="A2121" s="568"/>
      <c r="B2121" s="727" t="str">
        <f>'BOQ-C&amp;I'!C147</f>
        <v>SURFACE PREPARATION :- The substrate concrete surface must have compressive strength of 25Mpa and should be more than 14 days old and the surface should be dry, moisture content below 75% RH in the substrate. Surface laitance must be removed by mechanical action. Locking chases/termination grooves shall be provided in the substrate.</v>
      </c>
      <c r="C2121" s="728"/>
      <c r="D2121" s="728"/>
      <c r="E2121" s="728"/>
      <c r="F2121" s="728"/>
      <c r="G2121" s="728"/>
      <c r="H2121" s="728"/>
      <c r="I2121" s="728"/>
      <c r="J2121" s="728"/>
      <c r="K2121" s="729"/>
    </row>
    <row r="2122" spans="1:11" ht="62.25" customHeight="1">
      <c r="A2122" s="568"/>
      <c r="B2122" s="727" t="str">
        <f>'BOQ-C&amp;I'!C148</f>
        <v xml:space="preserve">Priming/Scratch coat shall be applied using Flowfresh RT by trowel or with a rake with appropriate depth gauges. Filler (aggregate scatter) shall be applied over Scratch coat. </v>
      </c>
      <c r="C2122" s="728"/>
      <c r="D2122" s="728"/>
      <c r="E2122" s="728"/>
      <c r="F2122" s="728"/>
      <c r="G2122" s="728"/>
      <c r="H2122" s="728"/>
      <c r="I2122" s="728"/>
      <c r="J2122" s="728"/>
      <c r="K2122" s="729"/>
    </row>
    <row r="2123" spans="1:11" ht="18" customHeight="1">
      <c r="A2123" s="568"/>
      <c r="B2123" s="727" t="str">
        <f>'BOQ-C&amp;I'!C149</f>
        <v xml:space="preserve">Top Coat to be applied using  hand trowel to level screed lines and create an even surface. </v>
      </c>
      <c r="C2123" s="728"/>
      <c r="D2123" s="728"/>
      <c r="E2123" s="728"/>
      <c r="F2123" s="728"/>
      <c r="G2123" s="728"/>
      <c r="H2123" s="728"/>
      <c r="I2123" s="728"/>
      <c r="J2123" s="728"/>
      <c r="K2123" s="729"/>
    </row>
    <row r="2124" spans="1:11" ht="62.25" customHeight="1">
      <c r="A2124" s="568"/>
      <c r="B2124" s="727" t="str">
        <f>'BOQ-C&amp;I'!C150</f>
        <v>The rate shall include  all cuttings, wastages, cost of all materials adhesives, cleaning the surface, making dust free, including all the materials and labour mentioned above for complete finished work. Only laid area will be measured for payment.</v>
      </c>
      <c r="C2124" s="728"/>
      <c r="D2124" s="728"/>
      <c r="E2124" s="728"/>
      <c r="F2124" s="728"/>
      <c r="G2124" s="728"/>
      <c r="H2124" s="728"/>
      <c r="I2124" s="728"/>
      <c r="J2124" s="728"/>
      <c r="K2124" s="729"/>
    </row>
    <row r="2125" spans="1:11">
      <c r="A2125" s="568"/>
      <c r="B2125" s="593" t="s">
        <v>584</v>
      </c>
      <c r="C2125" s="577"/>
      <c r="D2125" s="578">
        <v>1</v>
      </c>
      <c r="E2125" s="579" t="s">
        <v>8</v>
      </c>
      <c r="F2125" s="569">
        <v>1</v>
      </c>
      <c r="G2125" s="659">
        <v>5.07</v>
      </c>
      <c r="H2125" s="598">
        <v>5</v>
      </c>
      <c r="I2125" s="598"/>
      <c r="J2125" s="598">
        <f t="shared" ref="J2125" si="196">ROUNDUP(PRODUCT(D2125:I2125),2)</f>
        <v>25.35</v>
      </c>
      <c r="K2125" s="581"/>
    </row>
    <row r="2126" spans="1:11">
      <c r="A2126" s="568"/>
      <c r="B2126" s="622" t="s">
        <v>28</v>
      </c>
      <c r="C2126" s="577"/>
      <c r="G2126" s="612"/>
      <c r="H2126" s="598"/>
      <c r="I2126" s="598"/>
      <c r="J2126" s="605">
        <f>ROUNDUP(J2125,0)</f>
        <v>26</v>
      </c>
      <c r="K2126" s="576" t="s">
        <v>9</v>
      </c>
    </row>
    <row r="2127" spans="1:11" ht="165.75" customHeight="1">
      <c r="A2127" s="568">
        <f>+A2114+1</f>
        <v>29</v>
      </c>
      <c r="B2127" s="727" t="str">
        <f>'BOQ-C&amp;I'!C152</f>
        <v>Supply and application of epoxy flooring at 3 mm thickness with epoxy underlay screed using of approved make at 2 mm thick over a priming layer of prime 25. Overlay the topping using approved make Epoxy of 1 mm thick for the designated working area after the complete surface preparation. System contains the properties like : Compressive strength (BS 6319)  : 50 N/mm² @7 days, Flexural strength (BS 6319)  : 26 N/mm² @7 days , Tensile strength (BS 6319)   : 12 N/mm² @7 days, the quoted rates includes complete surface preparation tools material and labor etc; complete as per the Manufacturers specification and direction of Engineer incharge. The application shall be done by Manufacturers approved applicators.</v>
      </c>
      <c r="C2127" s="728"/>
      <c r="D2127" s="728"/>
      <c r="E2127" s="728"/>
      <c r="F2127" s="728"/>
      <c r="G2127" s="728"/>
      <c r="H2127" s="728"/>
      <c r="I2127" s="728"/>
      <c r="J2127" s="728"/>
      <c r="K2127" s="729"/>
    </row>
    <row r="2128" spans="1:11">
      <c r="A2128" s="568"/>
      <c r="B2128" s="593" t="s">
        <v>545</v>
      </c>
      <c r="C2128" s="577"/>
      <c r="D2128" s="578">
        <v>1</v>
      </c>
      <c r="E2128" s="579" t="s">
        <v>8</v>
      </c>
      <c r="F2128" s="569">
        <v>1</v>
      </c>
      <c r="G2128" s="659">
        <v>3.8</v>
      </c>
      <c r="H2128" s="598">
        <v>6.4</v>
      </c>
      <c r="I2128" s="598"/>
      <c r="J2128" s="598">
        <f t="shared" ref="J2128" si="197">ROUNDUP(PRODUCT(D2128:I2128),2)</f>
        <v>24.32</v>
      </c>
      <c r="K2128" s="581"/>
    </row>
    <row r="2129" spans="1:11">
      <c r="A2129" s="568"/>
      <c r="B2129" s="593"/>
      <c r="C2129" s="577"/>
      <c r="G2129" s="667"/>
      <c r="H2129" s="650"/>
      <c r="I2129" s="598"/>
      <c r="J2129" s="614">
        <f>SUM(J2128:J2128)</f>
        <v>24.32</v>
      </c>
      <c r="K2129" s="576"/>
    </row>
    <row r="2130" spans="1:11">
      <c r="A2130" s="568"/>
      <c r="B2130" s="622" t="s">
        <v>28</v>
      </c>
      <c r="C2130" s="577"/>
      <c r="G2130" s="612"/>
      <c r="H2130" s="598"/>
      <c r="I2130" s="598"/>
      <c r="J2130" s="605">
        <f>ROUNDUP(J2129,0)</f>
        <v>25</v>
      </c>
      <c r="K2130" s="576" t="s">
        <v>9</v>
      </c>
    </row>
    <row r="2131" spans="1:11" ht="219.6" customHeight="1">
      <c r="A2131" s="568">
        <f>+A2127+1</f>
        <v>30</v>
      </c>
      <c r="B2131" s="723" t="str">
        <f>'BOQ-C&amp;I'!C154</f>
        <v xml:space="preserve">Providing and fixing of flooring with quality approved make of Double charged vitrified tiles - Polished / Matt (seamless joint) confirming to IS 13006/EN 176  Group B1a with technical specification as Mohs scratch hardness minimum  7,Water Absorption of less than 0.5%, Modulus of Rupture greater than 35 N/mm2, Deep Abrasion resistant maximum 175 mm 3 Surface flatness, Straightness of sides ± 0.25%, thickness  ± 5% of size of  approved colour and size &amp; thick as specified below, set  in 20mm thick C.M.1:4(1 cement and 4 M.Sand )  and pointing with white cement  to matching colour shade as per Manufacturer's Specification and as directed.  Rate shall include wastages, for preparation of base surface, cleaning, acid wash, and finished surface, protection with Gypsum / Pop  layer  over  Plastic sheet and removing the same before handing over, work at  all levels and as directed. Rate shall be inclusive of forming pattern as directed by departmental officers. etc; as complete in all respects and complying with relevant standard specifications and as directed by the departmental officers and the brant and desige should be got approved </v>
      </c>
      <c r="C2131" s="723"/>
      <c r="D2131" s="723"/>
      <c r="E2131" s="723"/>
      <c r="F2131" s="723"/>
      <c r="G2131" s="723"/>
      <c r="H2131" s="723"/>
      <c r="I2131" s="723"/>
      <c r="J2131" s="723"/>
      <c r="K2131" s="723"/>
    </row>
    <row r="2132" spans="1:11">
      <c r="A2132" s="568" t="s">
        <v>71</v>
      </c>
      <c r="B2132" s="584" t="s">
        <v>12</v>
      </c>
      <c r="C2132" s="577"/>
      <c r="G2132" s="621"/>
      <c r="H2132" s="594"/>
      <c r="I2132" s="598"/>
      <c r="J2132" s="598"/>
      <c r="K2132" s="581"/>
    </row>
    <row r="2133" spans="1:11">
      <c r="A2133" s="568"/>
      <c r="B2133" s="593" t="s">
        <v>1096</v>
      </c>
      <c r="C2133" s="577"/>
      <c r="D2133" s="578">
        <v>1</v>
      </c>
      <c r="E2133" s="579" t="s">
        <v>8</v>
      </c>
      <c r="F2133" s="569">
        <v>1</v>
      </c>
      <c r="G2133" s="717">
        <v>64.91</v>
      </c>
      <c r="H2133" s="718"/>
      <c r="I2133" s="598"/>
      <c r="J2133" s="598">
        <f t="shared" ref="J2133:J2144" si="198">ROUNDUP(PRODUCT(D2133:I2133),2)</f>
        <v>64.91</v>
      </c>
      <c r="K2133" s="581"/>
    </row>
    <row r="2134" spans="1:11">
      <c r="A2134" s="568"/>
      <c r="B2134" s="593" t="s">
        <v>1105</v>
      </c>
      <c r="C2134" s="577"/>
      <c r="D2134" s="578">
        <v>1</v>
      </c>
      <c r="E2134" s="579" t="s">
        <v>8</v>
      </c>
      <c r="F2134" s="569">
        <v>1</v>
      </c>
      <c r="G2134" s="717">
        <v>48.71</v>
      </c>
      <c r="H2134" s="718"/>
      <c r="I2134" s="598"/>
      <c r="J2134" s="598">
        <f t="shared" si="198"/>
        <v>48.71</v>
      </c>
      <c r="K2134" s="581"/>
    </row>
    <row r="2135" spans="1:11">
      <c r="A2135" s="568"/>
      <c r="B2135" s="593" t="s">
        <v>1228</v>
      </c>
      <c r="C2135" s="577"/>
      <c r="D2135" s="578">
        <v>1</v>
      </c>
      <c r="E2135" s="579" t="s">
        <v>8</v>
      </c>
      <c r="F2135" s="569">
        <v>1</v>
      </c>
      <c r="G2135" s="598">
        <v>3.8</v>
      </c>
      <c r="H2135" s="598">
        <v>4.0999999999999996</v>
      </c>
      <c r="I2135" s="598"/>
      <c r="J2135" s="598">
        <f t="shared" si="198"/>
        <v>15.58</v>
      </c>
      <c r="K2135" s="581"/>
    </row>
    <row r="2136" spans="1:11">
      <c r="A2136" s="568"/>
      <c r="B2136" s="593"/>
      <c r="C2136" s="577"/>
      <c r="D2136" s="578">
        <v>1</v>
      </c>
      <c r="E2136" s="579" t="s">
        <v>8</v>
      </c>
      <c r="F2136" s="569">
        <v>1</v>
      </c>
      <c r="G2136" s="598">
        <v>1.5</v>
      </c>
      <c r="H2136" s="598">
        <v>2.2999999999999998</v>
      </c>
      <c r="I2136" s="598"/>
      <c r="J2136" s="598">
        <f t="shared" si="198"/>
        <v>3.45</v>
      </c>
      <c r="K2136" s="581"/>
    </row>
    <row r="2137" spans="1:11">
      <c r="A2137" s="568"/>
      <c r="B2137" s="593" t="s">
        <v>592</v>
      </c>
      <c r="C2137" s="577"/>
      <c r="D2137" s="578">
        <v>1</v>
      </c>
      <c r="E2137" s="579" t="s">
        <v>8</v>
      </c>
      <c r="F2137" s="569">
        <v>1</v>
      </c>
      <c r="G2137" s="598">
        <v>3.8</v>
      </c>
      <c r="H2137" s="598">
        <v>4.0999999999999996</v>
      </c>
      <c r="I2137" s="598"/>
      <c r="J2137" s="598">
        <f t="shared" si="198"/>
        <v>15.58</v>
      </c>
      <c r="K2137" s="581"/>
    </row>
    <row r="2138" spans="1:11">
      <c r="A2138" s="568"/>
      <c r="B2138" s="593"/>
      <c r="C2138" s="577"/>
      <c r="D2138" s="578">
        <v>1</v>
      </c>
      <c r="E2138" s="579" t="s">
        <v>8</v>
      </c>
      <c r="F2138" s="569">
        <v>1</v>
      </c>
      <c r="G2138" s="598">
        <v>1.5</v>
      </c>
      <c r="H2138" s="598">
        <v>2.2999999999999998</v>
      </c>
      <c r="I2138" s="598"/>
      <c r="J2138" s="598">
        <f t="shared" si="198"/>
        <v>3.45</v>
      </c>
      <c r="K2138" s="581"/>
    </row>
    <row r="2139" spans="1:11">
      <c r="A2139" s="568"/>
      <c r="B2139" s="593" t="s">
        <v>15</v>
      </c>
      <c r="C2139" s="577"/>
      <c r="D2139" s="578">
        <v>1</v>
      </c>
      <c r="E2139" s="579" t="s">
        <v>8</v>
      </c>
      <c r="F2139" s="569">
        <v>1</v>
      </c>
      <c r="G2139" s="717">
        <v>49.56</v>
      </c>
      <c r="H2139" s="718"/>
      <c r="I2139" s="598"/>
      <c r="J2139" s="598">
        <f t="shared" si="198"/>
        <v>49.56</v>
      </c>
      <c r="K2139" s="581"/>
    </row>
    <row r="2140" spans="1:11">
      <c r="A2140" s="568"/>
      <c r="B2140" s="593" t="s">
        <v>1229</v>
      </c>
      <c r="C2140" s="577"/>
      <c r="D2140" s="578">
        <v>1</v>
      </c>
      <c r="E2140" s="579" t="s">
        <v>8</v>
      </c>
      <c r="F2140" s="569">
        <v>2</v>
      </c>
      <c r="G2140" s="598">
        <v>4.0999999999999996</v>
      </c>
      <c r="H2140" s="598">
        <v>3.8</v>
      </c>
      <c r="I2140" s="598"/>
      <c r="J2140" s="598">
        <f t="shared" si="198"/>
        <v>31.16</v>
      </c>
      <c r="K2140" s="581"/>
    </row>
    <row r="2141" spans="1:11">
      <c r="A2141" s="568"/>
      <c r="B2141" s="593" t="s">
        <v>1229</v>
      </c>
      <c r="C2141" s="577"/>
      <c r="D2141" s="578">
        <v>1</v>
      </c>
      <c r="E2141" s="579" t="s">
        <v>8</v>
      </c>
      <c r="F2141" s="569">
        <v>2</v>
      </c>
      <c r="G2141" s="598">
        <v>2.2999999999999998</v>
      </c>
      <c r="H2141" s="598">
        <v>1.5</v>
      </c>
      <c r="I2141" s="598"/>
      <c r="J2141" s="598">
        <f t="shared" si="198"/>
        <v>6.9</v>
      </c>
      <c r="K2141" s="581"/>
    </row>
    <row r="2142" spans="1:11">
      <c r="A2142" s="568"/>
      <c r="B2142" s="593" t="s">
        <v>1110</v>
      </c>
      <c r="C2142" s="577"/>
      <c r="D2142" s="578">
        <v>1</v>
      </c>
      <c r="E2142" s="579" t="s">
        <v>8</v>
      </c>
      <c r="F2142" s="569">
        <v>1</v>
      </c>
      <c r="G2142" s="598">
        <v>4.8</v>
      </c>
      <c r="H2142" s="598">
        <v>3.8</v>
      </c>
      <c r="I2142" s="598"/>
      <c r="J2142" s="598">
        <f t="shared" si="198"/>
        <v>18.239999999999998</v>
      </c>
      <c r="K2142" s="581"/>
    </row>
    <row r="2143" spans="1:11">
      <c r="A2143" s="568"/>
      <c r="B2143" s="593"/>
      <c r="C2143" s="577"/>
      <c r="D2143" s="578">
        <v>1</v>
      </c>
      <c r="E2143" s="579" t="s">
        <v>8</v>
      </c>
      <c r="F2143" s="569">
        <v>1</v>
      </c>
      <c r="G2143" s="598">
        <v>1.6</v>
      </c>
      <c r="H2143" s="598">
        <v>2.1</v>
      </c>
      <c r="I2143" s="598"/>
      <c r="J2143" s="598">
        <f t="shared" si="198"/>
        <v>3.36</v>
      </c>
      <c r="K2143" s="581"/>
    </row>
    <row r="2144" spans="1:11">
      <c r="A2144" s="568"/>
      <c r="B2144" s="593" t="s">
        <v>1232</v>
      </c>
      <c r="C2144" s="577"/>
      <c r="D2144" s="578">
        <v>1</v>
      </c>
      <c r="E2144" s="579" t="s">
        <v>8</v>
      </c>
      <c r="F2144" s="569">
        <v>1</v>
      </c>
      <c r="G2144" s="598">
        <v>3.3</v>
      </c>
      <c r="H2144" s="612">
        <v>1.9</v>
      </c>
      <c r="I2144" s="598"/>
      <c r="J2144" s="598">
        <f t="shared" si="198"/>
        <v>6.27</v>
      </c>
      <c r="K2144" s="581"/>
    </row>
    <row r="2145" spans="1:11">
      <c r="A2145" s="568"/>
      <c r="B2145" s="593" t="s">
        <v>59</v>
      </c>
      <c r="C2145" s="577"/>
      <c r="D2145" s="578">
        <v>1</v>
      </c>
      <c r="E2145" s="579" t="s">
        <v>8</v>
      </c>
      <c r="F2145" s="569">
        <v>1</v>
      </c>
      <c r="G2145" s="659">
        <v>16.670000000000002</v>
      </c>
      <c r="H2145" s="598">
        <v>1.9</v>
      </c>
      <c r="I2145" s="598"/>
      <c r="J2145" s="598">
        <f>ROUNDUP(PRODUCT(D2145:I2145),2)</f>
        <v>31.680000000000003</v>
      </c>
      <c r="K2145" s="581"/>
    </row>
    <row r="2146" spans="1:11">
      <c r="A2146" s="568"/>
      <c r="B2146" s="593" t="s">
        <v>1104</v>
      </c>
      <c r="C2146" s="577"/>
      <c r="D2146" s="578">
        <v>1</v>
      </c>
      <c r="E2146" s="579" t="s">
        <v>8</v>
      </c>
      <c r="F2146" s="569">
        <v>2</v>
      </c>
      <c r="G2146" s="612">
        <v>13.2</v>
      </c>
      <c r="H2146" s="598">
        <v>1.5</v>
      </c>
      <c r="I2146" s="598"/>
      <c r="J2146" s="598">
        <f t="shared" ref="J2146:J2148" si="199">ROUNDUP(PRODUCT(D2146:I2146),2)</f>
        <v>39.6</v>
      </c>
      <c r="K2146" s="588"/>
    </row>
    <row r="2147" spans="1:11">
      <c r="A2147" s="568"/>
      <c r="B2147" s="593" t="s">
        <v>1104</v>
      </c>
      <c r="C2147" s="577"/>
      <c r="D2147" s="578">
        <v>1</v>
      </c>
      <c r="E2147" s="579" t="s">
        <v>8</v>
      </c>
      <c r="F2147" s="569">
        <v>1</v>
      </c>
      <c r="G2147" s="659">
        <v>16.670000000000002</v>
      </c>
      <c r="H2147" s="598">
        <v>1.5</v>
      </c>
      <c r="I2147" s="598"/>
      <c r="J2147" s="598">
        <f t="shared" si="199"/>
        <v>25.01</v>
      </c>
      <c r="K2147" s="588"/>
    </row>
    <row r="2148" spans="1:11">
      <c r="A2148" s="568"/>
      <c r="B2148" s="593" t="s">
        <v>1590</v>
      </c>
      <c r="C2148" s="577"/>
      <c r="D2148" s="578">
        <v>1</v>
      </c>
      <c r="E2148" s="579" t="s">
        <v>8</v>
      </c>
      <c r="F2148" s="569">
        <v>1</v>
      </c>
      <c r="G2148" s="612">
        <v>1.83</v>
      </c>
      <c r="H2148" s="598">
        <v>1.2</v>
      </c>
      <c r="I2148" s="598"/>
      <c r="J2148" s="598">
        <f t="shared" si="199"/>
        <v>2.1999999999999997</v>
      </c>
      <c r="K2148" s="588"/>
    </row>
    <row r="2149" spans="1:11">
      <c r="A2149" s="568"/>
      <c r="B2149" s="593" t="s">
        <v>1334</v>
      </c>
      <c r="C2149" s="599"/>
      <c r="D2149" s="578">
        <v>2</v>
      </c>
      <c r="E2149" s="579" t="s">
        <v>8</v>
      </c>
      <c r="F2149" s="569">
        <v>1</v>
      </c>
      <c r="G2149" s="600">
        <v>2.5</v>
      </c>
      <c r="H2149" s="600">
        <v>2.2000000000000002</v>
      </c>
      <c r="I2149" s="568"/>
      <c r="J2149" s="597">
        <f t="shared" ref="J2149" si="200">PRODUCT(D2149:I2149)</f>
        <v>11</v>
      </c>
      <c r="K2149" s="588"/>
    </row>
    <row r="2150" spans="1:11">
      <c r="A2150" s="568"/>
      <c r="B2150" s="593"/>
      <c r="C2150" s="577"/>
      <c r="G2150" s="650"/>
      <c r="H2150" s="618"/>
      <c r="I2150" s="598"/>
      <c r="J2150" s="614">
        <f>SUM(J2133:J2149)</f>
        <v>376.66</v>
      </c>
      <c r="K2150" s="581"/>
    </row>
    <row r="2151" spans="1:11">
      <c r="A2151" s="568"/>
      <c r="B2151" s="622" t="s">
        <v>28</v>
      </c>
      <c r="C2151" s="577"/>
      <c r="G2151" s="612"/>
      <c r="H2151" s="598"/>
      <c r="I2151" s="598"/>
      <c r="J2151" s="605">
        <f>ROUNDUP(J2150,0)</f>
        <v>377</v>
      </c>
      <c r="K2151" s="576" t="s">
        <v>9</v>
      </c>
    </row>
    <row r="2152" spans="1:11">
      <c r="A2152" s="568" t="s">
        <v>70</v>
      </c>
      <c r="B2152" s="584" t="s">
        <v>20</v>
      </c>
      <c r="C2152" s="577"/>
      <c r="G2152" s="650"/>
      <c r="H2152" s="618"/>
      <c r="I2152" s="598"/>
      <c r="J2152" s="598"/>
      <c r="K2152" s="581"/>
    </row>
    <row r="2153" spans="1:11">
      <c r="A2153" s="568"/>
      <c r="B2153" s="593" t="s">
        <v>1592</v>
      </c>
      <c r="C2153" s="577"/>
      <c r="D2153" s="578">
        <v>1</v>
      </c>
      <c r="E2153" s="579" t="s">
        <v>8</v>
      </c>
      <c r="F2153" s="569">
        <v>1</v>
      </c>
      <c r="G2153" s="598">
        <v>3.5</v>
      </c>
      <c r="H2153" s="598">
        <v>3.3</v>
      </c>
      <c r="I2153" s="598"/>
      <c r="J2153" s="598">
        <f t="shared" ref="J2153:J2158" si="201">ROUNDUP(PRODUCT(D2153:I2153),2)</f>
        <v>11.55</v>
      </c>
      <c r="K2153" s="581"/>
    </row>
    <row r="2154" spans="1:11">
      <c r="A2154" s="568"/>
      <c r="B2154" s="593" t="s">
        <v>24</v>
      </c>
      <c r="C2154" s="577"/>
      <c r="D2154" s="578">
        <v>1</v>
      </c>
      <c r="E2154" s="579" t="s">
        <v>8</v>
      </c>
      <c r="F2154" s="569">
        <v>1</v>
      </c>
      <c r="G2154" s="598">
        <v>3.8</v>
      </c>
      <c r="H2154" s="598">
        <v>2.2000000000000002</v>
      </c>
      <c r="I2154" s="598"/>
      <c r="J2154" s="598">
        <f t="shared" ref="J2154" si="202">ROUNDUP(PRODUCT(D2154:I2154),2)</f>
        <v>8.36</v>
      </c>
      <c r="K2154" s="581"/>
    </row>
    <row r="2155" spans="1:11">
      <c r="A2155" s="568"/>
      <c r="B2155" s="593" t="s">
        <v>1225</v>
      </c>
      <c r="C2155" s="577"/>
      <c r="D2155" s="578">
        <v>1</v>
      </c>
      <c r="E2155" s="579" t="s">
        <v>8</v>
      </c>
      <c r="F2155" s="569">
        <v>5</v>
      </c>
      <c r="G2155" s="717">
        <v>12.93</v>
      </c>
      <c r="H2155" s="718"/>
      <c r="I2155" s="598"/>
      <c r="J2155" s="598">
        <f t="shared" si="201"/>
        <v>64.650000000000006</v>
      </c>
      <c r="K2155" s="581"/>
    </row>
    <row r="2156" spans="1:11">
      <c r="A2156" s="568"/>
      <c r="B2156" s="593" t="s">
        <v>1231</v>
      </c>
      <c r="C2156" s="577"/>
      <c r="D2156" s="578">
        <v>1</v>
      </c>
      <c r="E2156" s="579" t="s">
        <v>8</v>
      </c>
      <c r="F2156" s="569">
        <v>5</v>
      </c>
      <c r="G2156" s="717">
        <v>24.16</v>
      </c>
      <c r="H2156" s="718"/>
      <c r="I2156" s="598"/>
      <c r="J2156" s="598">
        <f t="shared" si="201"/>
        <v>120.8</v>
      </c>
      <c r="K2156" s="581"/>
    </row>
    <row r="2157" spans="1:11">
      <c r="A2157" s="568"/>
      <c r="B2157" s="593" t="s">
        <v>1231</v>
      </c>
      <c r="C2157" s="577"/>
      <c r="D2157" s="578">
        <v>1</v>
      </c>
      <c r="E2157" s="579" t="s">
        <v>8</v>
      </c>
      <c r="F2157" s="569">
        <v>3</v>
      </c>
      <c r="G2157" s="717">
        <v>24.16</v>
      </c>
      <c r="H2157" s="718"/>
      <c r="I2157" s="598"/>
      <c r="J2157" s="598">
        <f t="shared" si="201"/>
        <v>72.48</v>
      </c>
      <c r="K2157" s="581"/>
    </row>
    <row r="2158" spans="1:11">
      <c r="A2158" s="568"/>
      <c r="B2158" s="593" t="s">
        <v>1232</v>
      </c>
      <c r="C2158" s="577"/>
      <c r="D2158" s="578">
        <v>1</v>
      </c>
      <c r="E2158" s="579" t="s">
        <v>8</v>
      </c>
      <c r="F2158" s="569">
        <v>1</v>
      </c>
      <c r="G2158" s="659">
        <v>3.3</v>
      </c>
      <c r="H2158" s="612">
        <v>1.9</v>
      </c>
      <c r="I2158" s="598"/>
      <c r="J2158" s="598">
        <f t="shared" si="201"/>
        <v>6.27</v>
      </c>
      <c r="K2158" s="581"/>
    </row>
    <row r="2159" spans="1:11">
      <c r="A2159" s="568"/>
      <c r="B2159" s="593" t="s">
        <v>1104</v>
      </c>
      <c r="C2159" s="577"/>
      <c r="D2159" s="578">
        <v>1</v>
      </c>
      <c r="E2159" s="579" t="s">
        <v>8</v>
      </c>
      <c r="F2159" s="569">
        <v>3</v>
      </c>
      <c r="G2159" s="612">
        <v>16.5</v>
      </c>
      <c r="H2159" s="598">
        <v>1.5</v>
      </c>
      <c r="I2159" s="598"/>
      <c r="J2159" s="598">
        <f t="shared" ref="J2159:J2163" si="203">ROUNDUP(PRODUCT(D2159:I2159),2)</f>
        <v>74.25</v>
      </c>
      <c r="K2159" s="588"/>
    </row>
    <row r="2160" spans="1:11">
      <c r="A2160" s="568"/>
      <c r="B2160" s="593" t="s">
        <v>1104</v>
      </c>
      <c r="C2160" s="577"/>
      <c r="D2160" s="578">
        <v>1</v>
      </c>
      <c r="E2160" s="579" t="s">
        <v>8</v>
      </c>
      <c r="F2160" s="569">
        <v>3</v>
      </c>
      <c r="G2160" s="612">
        <v>13.2</v>
      </c>
      <c r="H2160" s="598">
        <v>1.5</v>
      </c>
      <c r="I2160" s="598"/>
      <c r="J2160" s="598">
        <f t="shared" si="203"/>
        <v>59.4</v>
      </c>
      <c r="K2160" s="588"/>
    </row>
    <row r="2161" spans="1:11">
      <c r="A2161" s="568"/>
      <c r="B2161" s="593" t="s">
        <v>1104</v>
      </c>
      <c r="C2161" s="577"/>
      <c r="D2161" s="578">
        <v>1</v>
      </c>
      <c r="E2161" s="579" t="s">
        <v>8</v>
      </c>
      <c r="F2161" s="569">
        <v>3</v>
      </c>
      <c r="G2161" s="659">
        <v>16.670000000000002</v>
      </c>
      <c r="H2161" s="598">
        <v>1.5</v>
      </c>
      <c r="I2161" s="598"/>
      <c r="J2161" s="598">
        <f t="shared" si="203"/>
        <v>75.02000000000001</v>
      </c>
      <c r="K2161" s="588"/>
    </row>
    <row r="2162" spans="1:11">
      <c r="A2162" s="568"/>
      <c r="B2162" s="593" t="s">
        <v>1591</v>
      </c>
      <c r="C2162" s="577"/>
      <c r="D2162" s="578">
        <v>1</v>
      </c>
      <c r="E2162" s="579" t="s">
        <v>8</v>
      </c>
      <c r="F2162" s="569">
        <v>3</v>
      </c>
      <c r="G2162" s="612">
        <v>3.9</v>
      </c>
      <c r="H2162" s="598">
        <v>1</v>
      </c>
      <c r="I2162" s="598"/>
      <c r="J2162" s="598">
        <f t="shared" si="203"/>
        <v>11.7</v>
      </c>
      <c r="K2162" s="588"/>
    </row>
    <row r="2163" spans="1:11">
      <c r="A2163" s="568"/>
      <c r="B2163" s="593" t="s">
        <v>1590</v>
      </c>
      <c r="C2163" s="577"/>
      <c r="D2163" s="578">
        <v>1</v>
      </c>
      <c r="E2163" s="579" t="s">
        <v>8</v>
      </c>
      <c r="F2163" s="569">
        <v>1</v>
      </c>
      <c r="G2163" s="612">
        <v>1.83</v>
      </c>
      <c r="H2163" s="598">
        <v>1.2</v>
      </c>
      <c r="I2163" s="598"/>
      <c r="J2163" s="598">
        <f t="shared" si="203"/>
        <v>2.1999999999999997</v>
      </c>
      <c r="K2163" s="588"/>
    </row>
    <row r="2164" spans="1:11">
      <c r="A2164" s="568"/>
      <c r="B2164" s="593"/>
      <c r="C2164" s="577"/>
      <c r="G2164" s="612"/>
      <c r="H2164" s="598"/>
      <c r="I2164" s="598"/>
      <c r="J2164" s="614">
        <f>SUM(J2153:J2163)</f>
        <v>506.67999999999995</v>
      </c>
      <c r="K2164" s="581"/>
    </row>
    <row r="2165" spans="1:11">
      <c r="A2165" s="568"/>
      <c r="B2165" s="622" t="s">
        <v>28</v>
      </c>
      <c r="C2165" s="577"/>
      <c r="G2165" s="612"/>
      <c r="H2165" s="598"/>
      <c r="I2165" s="598"/>
      <c r="J2165" s="605">
        <f>ROUNDUP(J2164,0)</f>
        <v>507</v>
      </c>
      <c r="K2165" s="576" t="s">
        <v>9</v>
      </c>
    </row>
    <row r="2166" spans="1:11">
      <c r="A2166" s="568" t="s">
        <v>69</v>
      </c>
      <c r="B2166" s="584" t="s">
        <v>23</v>
      </c>
      <c r="C2166" s="577"/>
      <c r="G2166" s="612"/>
      <c r="H2166" s="591"/>
      <c r="I2166" s="598"/>
      <c r="J2166" s="598"/>
      <c r="K2166" s="581"/>
    </row>
    <row r="2167" spans="1:11">
      <c r="A2167" s="568"/>
      <c r="B2167" s="593" t="s">
        <v>588</v>
      </c>
      <c r="C2167" s="577"/>
      <c r="G2167" s="612"/>
      <c r="H2167" s="591"/>
      <c r="I2167" s="598"/>
      <c r="J2167" s="605">
        <f>ROUNDUP(J2165,0)</f>
        <v>507</v>
      </c>
      <c r="K2167" s="576" t="s">
        <v>9</v>
      </c>
    </row>
    <row r="2168" spans="1:11">
      <c r="A2168" s="568"/>
      <c r="B2168" s="593"/>
      <c r="C2168" s="577"/>
      <c r="G2168" s="612"/>
      <c r="H2168" s="591"/>
      <c r="I2168" s="598"/>
      <c r="J2168" s="598"/>
      <c r="K2168" s="581"/>
    </row>
    <row r="2169" spans="1:11">
      <c r="A2169" s="568" t="s">
        <v>68</v>
      </c>
      <c r="B2169" s="584" t="s">
        <v>546</v>
      </c>
      <c r="C2169" s="577"/>
      <c r="G2169" s="612"/>
      <c r="H2169" s="591"/>
      <c r="I2169" s="598"/>
      <c r="J2169" s="598"/>
      <c r="K2169" s="581"/>
    </row>
    <row r="2170" spans="1:11" ht="36">
      <c r="A2170" s="568"/>
      <c r="B2170" s="593" t="s">
        <v>589</v>
      </c>
      <c r="C2170" s="589"/>
      <c r="G2170" s="612"/>
      <c r="H2170" s="591"/>
      <c r="I2170" s="598"/>
      <c r="J2170" s="605">
        <f>ROUNDUP(J2167,0)</f>
        <v>507</v>
      </c>
      <c r="K2170" s="576" t="s">
        <v>9</v>
      </c>
    </row>
    <row r="2171" spans="1:11">
      <c r="A2171" s="568"/>
      <c r="B2171" s="593"/>
      <c r="C2171" s="589"/>
      <c r="G2171" s="612"/>
      <c r="H2171" s="591"/>
      <c r="I2171" s="598"/>
      <c r="J2171" s="605"/>
      <c r="K2171" s="576"/>
    </row>
    <row r="2172" spans="1:11">
      <c r="A2172" s="568"/>
      <c r="B2172" s="622" t="s">
        <v>1269</v>
      </c>
      <c r="C2172" s="589"/>
      <c r="G2172" s="612"/>
      <c r="H2172" s="591"/>
      <c r="I2172" s="598"/>
      <c r="J2172" s="614">
        <f>J2170+J2167+J2165+J2151</f>
        <v>1898</v>
      </c>
      <c r="K2172" s="576" t="s">
        <v>9</v>
      </c>
    </row>
    <row r="2173" spans="1:11" hidden="1">
      <c r="A2173" s="568"/>
      <c r="B2173" s="593"/>
      <c r="C2173" s="577"/>
      <c r="G2173" s="612"/>
      <c r="H2173" s="598"/>
      <c r="I2173" s="598"/>
      <c r="J2173" s="598"/>
      <c r="K2173" s="581"/>
    </row>
    <row r="2174" spans="1:11" ht="144.75" customHeight="1">
      <c r="A2174" s="568">
        <f>+A2131+1</f>
        <v>31</v>
      </c>
      <c r="B2174" s="723" t="str">
        <f>'BOQ-C&amp;I'!C155</f>
        <v xml:space="preserve">Providing and fixing of flooring with best approved quality of  ceramic tiles  (Anti-skid) of various sizes over a base layer of cement mortar 1:4 (One Cement and three of M.sand) 20mm thick  and pointing with same colour cement neatly etc., including finishing the joints and appointing flush with even surfaces etc., as directed.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officers.The sample and desing should be got approved </v>
      </c>
      <c r="C2174" s="723"/>
      <c r="D2174" s="723"/>
      <c r="E2174" s="723"/>
      <c r="F2174" s="723"/>
      <c r="G2174" s="723"/>
      <c r="H2174" s="723"/>
      <c r="I2174" s="723"/>
      <c r="J2174" s="723"/>
      <c r="K2174" s="723"/>
    </row>
    <row r="2175" spans="1:11">
      <c r="A2175" s="568"/>
      <c r="B2175" s="584" t="s">
        <v>12</v>
      </c>
      <c r="C2175" s="577"/>
      <c r="G2175" s="612"/>
      <c r="H2175" s="598"/>
      <c r="I2175" s="598"/>
      <c r="J2175" s="598"/>
      <c r="K2175" s="581"/>
    </row>
    <row r="2176" spans="1:11">
      <c r="A2176" s="568"/>
      <c r="B2176" s="584" t="s">
        <v>13</v>
      </c>
      <c r="C2176" s="577"/>
      <c r="G2176" s="612"/>
      <c r="H2176" s="598"/>
      <c r="I2176" s="598"/>
      <c r="J2176" s="598"/>
      <c r="K2176" s="581"/>
    </row>
    <row r="2177" spans="1:11">
      <c r="A2177" s="568"/>
      <c r="B2177" s="593" t="s">
        <v>1096</v>
      </c>
      <c r="C2177" s="577"/>
      <c r="D2177" s="578">
        <v>1</v>
      </c>
      <c r="E2177" s="579" t="s">
        <v>8</v>
      </c>
      <c r="F2177" s="569">
        <v>1</v>
      </c>
      <c r="G2177" s="598">
        <v>1.5</v>
      </c>
      <c r="H2177" s="598">
        <v>1.6</v>
      </c>
      <c r="I2177" s="598"/>
      <c r="J2177" s="598">
        <f t="shared" ref="J2177:J2187" si="204">ROUNDUP(PRODUCT(D2177:I2177),2)</f>
        <v>2.4</v>
      </c>
      <c r="K2177" s="581"/>
    </row>
    <row r="2178" spans="1:11">
      <c r="A2178" s="568"/>
      <c r="B2178" s="593" t="s">
        <v>1105</v>
      </c>
      <c r="C2178" s="577"/>
      <c r="G2178" s="598"/>
      <c r="H2178" s="598"/>
      <c r="I2178" s="598"/>
      <c r="J2178" s="598"/>
      <c r="K2178" s="581"/>
    </row>
    <row r="2179" spans="1:11">
      <c r="A2179" s="568"/>
      <c r="B2179" s="593" t="s">
        <v>1225</v>
      </c>
      <c r="C2179" s="577"/>
      <c r="D2179" s="578">
        <v>1</v>
      </c>
      <c r="E2179" s="579" t="s">
        <v>8</v>
      </c>
      <c r="F2179" s="569">
        <v>3</v>
      </c>
      <c r="G2179" s="724">
        <v>3.43</v>
      </c>
      <c r="H2179" s="724"/>
      <c r="I2179" s="598"/>
      <c r="J2179" s="598">
        <f t="shared" ref="J2179" si="205">ROUNDUP(PRODUCT(D2179:I2179),2)</f>
        <v>10.29</v>
      </c>
      <c r="K2179" s="581"/>
    </row>
    <row r="2180" spans="1:11">
      <c r="A2180" s="568"/>
      <c r="B2180" s="593"/>
      <c r="C2180" s="577"/>
      <c r="G2180" s="598"/>
      <c r="H2180" s="598"/>
      <c r="I2180" s="598"/>
      <c r="J2180" s="598"/>
      <c r="K2180" s="581"/>
    </row>
    <row r="2181" spans="1:11">
      <c r="A2181" s="568"/>
      <c r="B2181" s="593" t="s">
        <v>1228</v>
      </c>
      <c r="C2181" s="577"/>
      <c r="D2181" s="578">
        <v>1</v>
      </c>
      <c r="E2181" s="579" t="s">
        <v>8</v>
      </c>
      <c r="F2181" s="569">
        <v>1</v>
      </c>
      <c r="G2181" s="598">
        <v>2.2000000000000002</v>
      </c>
      <c r="H2181" s="598">
        <v>2.2000000000000002</v>
      </c>
      <c r="I2181" s="598"/>
      <c r="J2181" s="598">
        <f t="shared" si="204"/>
        <v>4.84</v>
      </c>
      <c r="K2181" s="581"/>
    </row>
    <row r="2182" spans="1:11">
      <c r="A2182" s="568"/>
      <c r="B2182" s="593" t="s">
        <v>592</v>
      </c>
      <c r="C2182" s="577"/>
      <c r="D2182" s="578">
        <v>1</v>
      </c>
      <c r="E2182" s="579" t="s">
        <v>8</v>
      </c>
      <c r="F2182" s="569">
        <v>1</v>
      </c>
      <c r="G2182" s="598">
        <v>2.2000000000000002</v>
      </c>
      <c r="H2182" s="598">
        <v>2.2000000000000002</v>
      </c>
      <c r="I2182" s="598"/>
      <c r="J2182" s="598">
        <f t="shared" si="204"/>
        <v>4.84</v>
      </c>
      <c r="K2182" s="581"/>
    </row>
    <row r="2183" spans="1:11">
      <c r="A2183" s="568"/>
      <c r="B2183" s="593" t="s">
        <v>1102</v>
      </c>
      <c r="C2183" s="577"/>
      <c r="D2183" s="578">
        <v>1</v>
      </c>
      <c r="E2183" s="579" t="s">
        <v>8</v>
      </c>
      <c r="F2183" s="569">
        <v>1</v>
      </c>
      <c r="G2183" s="598">
        <v>2.37</v>
      </c>
      <c r="H2183" s="598">
        <v>2.6</v>
      </c>
      <c r="I2183" s="598"/>
      <c r="J2183" s="598">
        <f t="shared" si="204"/>
        <v>6.17</v>
      </c>
      <c r="K2183" s="581"/>
    </row>
    <row r="2184" spans="1:11">
      <c r="A2184" s="568"/>
      <c r="B2184" s="593" t="s">
        <v>1103</v>
      </c>
      <c r="C2184" s="577"/>
      <c r="D2184" s="578">
        <v>1</v>
      </c>
      <c r="E2184" s="579" t="s">
        <v>8</v>
      </c>
      <c r="F2184" s="569">
        <v>1</v>
      </c>
      <c r="G2184" s="603">
        <v>2.5</v>
      </c>
      <c r="H2184" s="603">
        <v>2.8</v>
      </c>
      <c r="I2184" s="598"/>
      <c r="J2184" s="598">
        <f t="shared" si="204"/>
        <v>7</v>
      </c>
      <c r="K2184" s="581"/>
    </row>
    <row r="2185" spans="1:11">
      <c r="A2185" s="568"/>
      <c r="B2185" s="593" t="s">
        <v>1389</v>
      </c>
      <c r="C2185" s="599"/>
      <c r="D2185" s="578">
        <v>1</v>
      </c>
      <c r="E2185" s="579" t="s">
        <v>8</v>
      </c>
      <c r="F2185" s="569">
        <v>1</v>
      </c>
      <c r="G2185" s="600">
        <v>1.2</v>
      </c>
      <c r="H2185" s="600">
        <v>2</v>
      </c>
      <c r="I2185" s="568"/>
      <c r="J2185" s="597">
        <f>PRODUCT(D2185:I2185)</f>
        <v>2.4</v>
      </c>
      <c r="K2185" s="581"/>
    </row>
    <row r="2186" spans="1:11">
      <c r="A2186" s="568"/>
      <c r="B2186" s="593" t="s">
        <v>1233</v>
      </c>
      <c r="C2186" s="577"/>
      <c r="D2186" s="578">
        <v>1</v>
      </c>
      <c r="E2186" s="579" t="s">
        <v>8</v>
      </c>
      <c r="F2186" s="569">
        <v>2</v>
      </c>
      <c r="G2186" s="598">
        <v>2.2000000000000002</v>
      </c>
      <c r="H2186" s="598">
        <v>2.2000000000000002</v>
      </c>
      <c r="I2186" s="598"/>
      <c r="J2186" s="598">
        <f t="shared" si="204"/>
        <v>9.68</v>
      </c>
      <c r="K2186" s="581"/>
    </row>
    <row r="2187" spans="1:11">
      <c r="A2187" s="568"/>
      <c r="B2187" s="593" t="s">
        <v>1110</v>
      </c>
      <c r="C2187" s="577"/>
      <c r="D2187" s="578">
        <v>1</v>
      </c>
      <c r="E2187" s="579" t="s">
        <v>8</v>
      </c>
      <c r="F2187" s="569">
        <v>1</v>
      </c>
      <c r="G2187" s="598">
        <v>1.5</v>
      </c>
      <c r="H2187" s="598">
        <v>1.6</v>
      </c>
      <c r="I2187" s="598"/>
      <c r="J2187" s="598">
        <f t="shared" si="204"/>
        <v>2.4</v>
      </c>
      <c r="K2187" s="581"/>
    </row>
    <row r="2188" spans="1:11">
      <c r="A2188" s="568"/>
      <c r="B2188" s="584" t="s">
        <v>1234</v>
      </c>
      <c r="C2188" s="577"/>
      <c r="G2188" s="612"/>
      <c r="H2188" s="598"/>
      <c r="I2188" s="598"/>
      <c r="J2188" s="598"/>
      <c r="K2188" s="581"/>
    </row>
    <row r="2189" spans="1:11">
      <c r="A2189" s="568"/>
      <c r="B2189" s="584" t="s">
        <v>13</v>
      </c>
      <c r="C2189" s="577"/>
      <c r="G2189" s="612"/>
      <c r="H2189" s="598"/>
      <c r="I2189" s="598"/>
      <c r="J2189" s="598"/>
      <c r="K2189" s="581"/>
    </row>
    <row r="2190" spans="1:11">
      <c r="A2190" s="568"/>
      <c r="B2190" s="593" t="s">
        <v>1225</v>
      </c>
      <c r="C2190" s="577"/>
      <c r="D2190" s="578">
        <v>3</v>
      </c>
      <c r="E2190" s="579" t="s">
        <v>8</v>
      </c>
      <c r="F2190" s="569">
        <v>5</v>
      </c>
      <c r="G2190" s="724">
        <v>3.43</v>
      </c>
      <c r="H2190" s="724"/>
      <c r="I2190" s="598"/>
      <c r="J2190" s="598">
        <f t="shared" ref="J2190:J2191" si="206">ROUNDUP(PRODUCT(D2190:I2190),2)</f>
        <v>51.45</v>
      </c>
      <c r="K2190" s="581"/>
    </row>
    <row r="2191" spans="1:11">
      <c r="A2191" s="568"/>
      <c r="B2191" s="593" t="s">
        <v>1193</v>
      </c>
      <c r="C2191" s="577"/>
      <c r="D2191" s="578">
        <v>3</v>
      </c>
      <c r="E2191" s="579" t="s">
        <v>8</v>
      </c>
      <c r="F2191" s="569">
        <v>1</v>
      </c>
      <c r="G2191" s="598">
        <v>5.07</v>
      </c>
      <c r="H2191" s="598">
        <v>7.8</v>
      </c>
      <c r="I2191" s="598"/>
      <c r="J2191" s="598">
        <f t="shared" si="206"/>
        <v>118.64</v>
      </c>
      <c r="K2191" s="581"/>
    </row>
    <row r="2192" spans="1:11">
      <c r="A2192" s="568"/>
      <c r="B2192" s="593"/>
      <c r="C2192" s="577"/>
      <c r="G2192" s="612"/>
      <c r="H2192" s="598"/>
      <c r="I2192" s="598"/>
      <c r="J2192" s="614">
        <f>SUM(J2177:J2191)</f>
        <v>220.11</v>
      </c>
      <c r="K2192" s="581"/>
    </row>
    <row r="2193" spans="1:11">
      <c r="A2193" s="568"/>
      <c r="B2193" s="622" t="s">
        <v>28</v>
      </c>
      <c r="C2193" s="577"/>
      <c r="G2193" s="612"/>
      <c r="H2193" s="598"/>
      <c r="I2193" s="598"/>
      <c r="J2193" s="605">
        <f>ROUNDUP(J2192,0)</f>
        <v>221</v>
      </c>
      <c r="K2193" s="576" t="s">
        <v>9</v>
      </c>
    </row>
    <row r="2194" spans="1:11" ht="165.6" customHeight="1">
      <c r="A2194" s="568">
        <f>A2174+1</f>
        <v>32</v>
      </c>
      <c r="B2194" s="723" t="str">
        <f>'BOQ-C&amp;I'!C156</f>
        <v xml:space="preserve">Supply and laying with best quality the following materials of Machine Polished granite slab for wash basin counter top of 18 to 20mm thick (Jet Black) including cutting for wash basin and edge polishing to be set in CM 1:4 (1 of cement : 4 of M.sand) 20 mm thick including finishing the joints with white cement slurry, cutting, edge chamfering to approved shape and polishing rough, medium, nice and tin-oxide polish.Rate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and desing should be got approved. </v>
      </c>
      <c r="C2194" s="723"/>
      <c r="D2194" s="723"/>
      <c r="E2194" s="723"/>
      <c r="F2194" s="723"/>
      <c r="G2194" s="723"/>
      <c r="H2194" s="723"/>
      <c r="I2194" s="723"/>
      <c r="J2194" s="723"/>
      <c r="K2194" s="723"/>
    </row>
    <row r="2195" spans="1:11">
      <c r="A2195" s="568"/>
      <c r="B2195" s="584" t="s">
        <v>48</v>
      </c>
      <c r="C2195" s="577"/>
      <c r="G2195" s="612"/>
      <c r="H2195" s="598"/>
      <c r="I2195" s="598"/>
      <c r="J2195" s="598"/>
      <c r="K2195" s="581"/>
    </row>
    <row r="2196" spans="1:11">
      <c r="A2196" s="568"/>
      <c r="B2196" s="593" t="s">
        <v>1102</v>
      </c>
      <c r="C2196" s="577"/>
      <c r="D2196" s="578">
        <v>1</v>
      </c>
      <c r="E2196" s="579" t="s">
        <v>8</v>
      </c>
      <c r="F2196" s="569">
        <v>1</v>
      </c>
      <c r="G2196" s="612">
        <v>2.375</v>
      </c>
      <c r="H2196" s="598">
        <v>0.6</v>
      </c>
      <c r="I2196" s="598"/>
      <c r="J2196" s="598">
        <f t="shared" ref="J2196" si="207">ROUNDUP(PRODUCT(D2196:I2196),2)</f>
        <v>1.43</v>
      </c>
      <c r="K2196" s="581"/>
    </row>
    <row r="2197" spans="1:11">
      <c r="A2197" s="568"/>
      <c r="B2197" s="584" t="s">
        <v>1235</v>
      </c>
      <c r="C2197" s="577"/>
      <c r="G2197" s="612"/>
      <c r="H2197" s="598"/>
      <c r="I2197" s="598"/>
      <c r="J2197" s="598"/>
      <c r="K2197" s="581"/>
    </row>
    <row r="2198" spans="1:11">
      <c r="A2198" s="568"/>
      <c r="B2198" s="593" t="s">
        <v>1236</v>
      </c>
      <c r="C2198" s="577"/>
      <c r="D2198" s="578">
        <v>1</v>
      </c>
      <c r="E2198" s="579" t="s">
        <v>8</v>
      </c>
      <c r="F2198" s="569">
        <v>3</v>
      </c>
      <c r="G2198" s="612">
        <v>4.5999999999999996</v>
      </c>
      <c r="H2198" s="598">
        <v>0.6</v>
      </c>
      <c r="I2198" s="598"/>
      <c r="J2198" s="598">
        <f t="shared" ref="J2198" si="208">ROUNDUP(PRODUCT(D2198:I2198),2)</f>
        <v>8.2799999999999994</v>
      </c>
      <c r="K2198" s="581"/>
    </row>
    <row r="2199" spans="1:11">
      <c r="A2199" s="568"/>
      <c r="B2199" s="593"/>
      <c r="C2199" s="577"/>
      <c r="G2199" s="612"/>
      <c r="H2199" s="598"/>
      <c r="I2199" s="598"/>
      <c r="J2199" s="614">
        <f>SUM(J2196:J2198)</f>
        <v>9.7099999999999991</v>
      </c>
      <c r="K2199" s="581"/>
    </row>
    <row r="2200" spans="1:11">
      <c r="A2200" s="568"/>
      <c r="B2200" s="622" t="s">
        <v>28</v>
      </c>
      <c r="C2200" s="577"/>
      <c r="G2200" s="612"/>
      <c r="H2200" s="598"/>
      <c r="I2200" s="598"/>
      <c r="J2200" s="605">
        <f>ROUNDUP(J2199,0)</f>
        <v>10</v>
      </c>
      <c r="K2200" s="576" t="s">
        <v>9</v>
      </c>
    </row>
    <row r="2201" spans="1:11">
      <c r="A2201" s="568"/>
      <c r="B2201" s="593"/>
      <c r="C2201" s="577"/>
      <c r="G2201" s="612"/>
      <c r="H2201" s="598"/>
      <c r="I2201" s="598"/>
      <c r="J2201" s="598"/>
      <c r="K2201" s="581"/>
    </row>
    <row r="2202" spans="1:11" ht="193.9" customHeight="1">
      <c r="A2202" s="568">
        <f>A2194+1</f>
        <v>33</v>
      </c>
      <c r="B2202" s="723" t="str">
        <f>'BOQ-C&amp;I'!C157</f>
        <v xml:space="preserve">Supply and Laying flooring with best quality of Granite slab leather finish 18 to 20mm thick (Steel Grey, Sira Grey, Ruby Red, SK Blue, Raw silk, Antique Brown) of size not less than 1200 x 600 mm  machine cut with approved pattern in a single colour/multiple colour and set in C.M 1:4 (1 of cement : 4 of M.sand) 20 mm thick topped with white cement slurry (for surface contact of the bottom of the granite slab) as per approved pattern, including finishing the joints with matching shade, cement slurry, cutting, edge chamfering and polishing rough, medium, nice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should be got approvd. </v>
      </c>
      <c r="C2202" s="723"/>
      <c r="D2202" s="723"/>
      <c r="E2202" s="723"/>
      <c r="F2202" s="723"/>
      <c r="G2202" s="723"/>
      <c r="H2202" s="723"/>
      <c r="I2202" s="723"/>
      <c r="J2202" s="723"/>
      <c r="K2202" s="723"/>
    </row>
    <row r="2203" spans="1:11">
      <c r="A2203" s="568"/>
      <c r="B2203" s="584" t="s">
        <v>12</v>
      </c>
      <c r="C2203" s="577"/>
      <c r="G2203" s="612"/>
      <c r="H2203" s="598"/>
      <c r="I2203" s="598"/>
      <c r="J2203" s="598"/>
      <c r="K2203" s="581"/>
    </row>
    <row r="2204" spans="1:11">
      <c r="A2204" s="568"/>
      <c r="B2204" s="593" t="s">
        <v>1237</v>
      </c>
      <c r="C2204" s="577"/>
      <c r="D2204" s="578">
        <v>1</v>
      </c>
      <c r="E2204" s="579" t="s">
        <v>8</v>
      </c>
      <c r="F2204" s="569">
        <v>1</v>
      </c>
      <c r="G2204" s="659">
        <v>5.57</v>
      </c>
      <c r="H2204" s="612">
        <v>2.4</v>
      </c>
      <c r="I2204" s="598"/>
      <c r="J2204" s="598">
        <f t="shared" ref="J2204:J2205" si="209">ROUNDUP(PRODUCT(D2204:I2204),2)</f>
        <v>13.37</v>
      </c>
      <c r="K2204" s="581"/>
    </row>
    <row r="2205" spans="1:11">
      <c r="A2205" s="568"/>
      <c r="B2205" s="593" t="s">
        <v>606</v>
      </c>
      <c r="C2205" s="577"/>
      <c r="D2205" s="578">
        <v>1</v>
      </c>
      <c r="E2205" s="579" t="s">
        <v>8</v>
      </c>
      <c r="F2205" s="569">
        <v>1</v>
      </c>
      <c r="G2205" s="659">
        <v>5.4</v>
      </c>
      <c r="H2205" s="612">
        <v>1.9</v>
      </c>
      <c r="I2205" s="598"/>
      <c r="J2205" s="598">
        <f t="shared" si="209"/>
        <v>10.26</v>
      </c>
      <c r="K2205" s="581"/>
    </row>
    <row r="2206" spans="1:11">
      <c r="A2206" s="568"/>
      <c r="B2206" s="584" t="s">
        <v>594</v>
      </c>
      <c r="C2206" s="577"/>
      <c r="G2206" s="612"/>
      <c r="H2206" s="598"/>
      <c r="I2206" s="598"/>
      <c r="J2206" s="598"/>
      <c r="K2206" s="581"/>
    </row>
    <row r="2207" spans="1:11">
      <c r="A2207" s="568"/>
      <c r="B2207" s="593" t="s">
        <v>1610</v>
      </c>
      <c r="C2207" s="577"/>
      <c r="D2207" s="578">
        <v>1</v>
      </c>
      <c r="E2207" s="579" t="s">
        <v>8</v>
      </c>
      <c r="F2207" s="569">
        <v>1</v>
      </c>
      <c r="G2207" s="598">
        <v>5.4</v>
      </c>
      <c r="H2207" s="598">
        <v>3.3</v>
      </c>
      <c r="I2207" s="598"/>
      <c r="J2207" s="598">
        <f>ROUNDUP(PRODUCT(D2207:I2207),2)</f>
        <v>17.82</v>
      </c>
      <c r="K2207" s="581"/>
    </row>
    <row r="2208" spans="1:11">
      <c r="A2208" s="568"/>
      <c r="B2208" s="593" t="s">
        <v>1270</v>
      </c>
      <c r="C2208" s="577"/>
      <c r="D2208" s="578">
        <v>1</v>
      </c>
      <c r="E2208" s="579" t="s">
        <v>8</v>
      </c>
      <c r="F2208" s="569">
        <v>4</v>
      </c>
      <c r="G2208" s="598">
        <v>3.3</v>
      </c>
      <c r="H2208" s="598">
        <v>1.5</v>
      </c>
      <c r="I2208" s="598"/>
      <c r="J2208" s="598">
        <f>ROUNDUP(PRODUCT(D2208:I2208),2)</f>
        <v>19.8</v>
      </c>
      <c r="K2208" s="581"/>
    </row>
    <row r="2209" spans="1:11">
      <c r="A2209" s="568"/>
      <c r="B2209" s="593" t="s">
        <v>557</v>
      </c>
      <c r="C2209" s="577"/>
      <c r="D2209" s="578">
        <v>1</v>
      </c>
      <c r="E2209" s="579" t="s">
        <v>8</v>
      </c>
      <c r="F2209" s="569">
        <v>1</v>
      </c>
      <c r="G2209" s="598">
        <v>3.3</v>
      </c>
      <c r="H2209" s="598">
        <v>2.1</v>
      </c>
      <c r="I2209" s="598"/>
      <c r="J2209" s="598">
        <f>ROUNDUP(PRODUCT(D2209:I2209),2)</f>
        <v>6.93</v>
      </c>
      <c r="K2209" s="581"/>
    </row>
    <row r="2210" spans="1:11">
      <c r="A2210" s="568"/>
      <c r="B2210" s="584" t="s">
        <v>595</v>
      </c>
      <c r="C2210" s="577"/>
      <c r="G2210" s="612"/>
      <c r="H2210" s="598"/>
      <c r="I2210" s="598"/>
      <c r="J2210" s="598"/>
      <c r="K2210" s="581"/>
    </row>
    <row r="2211" spans="1:11">
      <c r="A2211" s="568"/>
      <c r="B2211" s="593" t="s">
        <v>1610</v>
      </c>
      <c r="C2211" s="577"/>
      <c r="D2211" s="578">
        <v>1</v>
      </c>
      <c r="E2211" s="579" t="s">
        <v>8</v>
      </c>
      <c r="F2211" s="569">
        <v>1</v>
      </c>
      <c r="G2211" s="598">
        <v>5.4</v>
      </c>
      <c r="H2211" s="598">
        <v>3.3</v>
      </c>
      <c r="I2211" s="598"/>
      <c r="J2211" s="598">
        <f>ROUNDUP(PRODUCT(D2211:I2211),2)</f>
        <v>17.82</v>
      </c>
      <c r="K2211" s="581"/>
    </row>
    <row r="2212" spans="1:11">
      <c r="A2212" s="568"/>
      <c r="B2212" s="593" t="s">
        <v>1270</v>
      </c>
      <c r="C2212" s="577"/>
      <c r="D2212" s="578">
        <v>1</v>
      </c>
      <c r="E2212" s="579" t="s">
        <v>8</v>
      </c>
      <c r="F2212" s="569">
        <v>4</v>
      </c>
      <c r="G2212" s="659">
        <v>3.3</v>
      </c>
      <c r="H2212" s="612">
        <v>1.5</v>
      </c>
      <c r="I2212" s="598"/>
      <c r="J2212" s="598">
        <f>ROUNDUP(PRODUCT(D2212:I2212),2)</f>
        <v>19.8</v>
      </c>
      <c r="K2212" s="581"/>
    </row>
    <row r="2213" spans="1:11">
      <c r="A2213" s="568"/>
      <c r="B2213" s="593" t="s">
        <v>557</v>
      </c>
      <c r="C2213" s="577"/>
      <c r="D2213" s="578">
        <v>1</v>
      </c>
      <c r="E2213" s="579" t="s">
        <v>8</v>
      </c>
      <c r="F2213" s="569">
        <v>1</v>
      </c>
      <c r="G2213" s="659">
        <v>3.3</v>
      </c>
      <c r="H2213" s="612">
        <v>2.1</v>
      </c>
      <c r="I2213" s="598"/>
      <c r="J2213" s="598">
        <f>ROUNDUP(PRODUCT(D2213:I2213),2)</f>
        <v>6.93</v>
      </c>
      <c r="K2213" s="581"/>
    </row>
    <row r="2214" spans="1:11">
      <c r="A2214" s="568"/>
      <c r="B2214" s="593"/>
      <c r="C2214" s="577"/>
      <c r="G2214" s="612"/>
      <c r="H2214" s="598"/>
      <c r="I2214" s="598"/>
      <c r="J2214" s="614">
        <f>SUM(J2204:J2213)</f>
        <v>112.72999999999999</v>
      </c>
      <c r="K2214" s="581"/>
    </row>
    <row r="2215" spans="1:11">
      <c r="A2215" s="568"/>
      <c r="B2215" s="622" t="s">
        <v>28</v>
      </c>
      <c r="C2215" s="577"/>
      <c r="G2215" s="612"/>
      <c r="H2215" s="598"/>
      <c r="I2215" s="598"/>
      <c r="J2215" s="605">
        <f>ROUNDUP(J2214,0)</f>
        <v>113</v>
      </c>
      <c r="K2215" s="576" t="s">
        <v>9</v>
      </c>
    </row>
    <row r="2216" spans="1:11">
      <c r="A2216" s="568"/>
      <c r="B2216" s="593"/>
      <c r="C2216" s="577"/>
      <c r="G2216" s="612"/>
      <c r="H2216" s="598"/>
      <c r="I2216" s="598"/>
      <c r="J2216" s="598"/>
      <c r="K2216" s="581"/>
    </row>
    <row r="2217" spans="1:11" ht="199.9" customHeight="1">
      <c r="A2217" s="568">
        <f>A2202+1</f>
        <v>34</v>
      </c>
      <c r="B2217" s="723" t="str">
        <f>'BOQ-C&amp;I'!C158</f>
        <v xml:space="preserve">Supply and Laying flooring with best quality approved colour Granite slab Polished finish 18 to 20mm thick (Green teak, Fox brown, Royal brown, Ruby Red and Raw silk) of size not less than 1200 x 600 mm  machine cut with approved pattern in a single colour/multiple colour and set in C.M 1:4 (1 of cement : 4 of M.sand) 20 mm thick topped with white cement slurry (for surface contact of the bottom of the granite slab) as per approved pattern, including finishing the joints with matching shade, cement slurry, cutting, edge chamfering and polishing rough, medium, nice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should be got approvd </v>
      </c>
      <c r="C2217" s="723"/>
      <c r="D2217" s="723"/>
      <c r="E2217" s="723"/>
      <c r="F2217" s="723"/>
      <c r="G2217" s="723"/>
      <c r="H2217" s="723"/>
      <c r="I2217" s="723"/>
      <c r="J2217" s="723"/>
      <c r="K2217" s="723"/>
    </row>
    <row r="2218" spans="1:11">
      <c r="A2218" s="568"/>
      <c r="B2218" s="593" t="s">
        <v>506</v>
      </c>
      <c r="C2218" s="589"/>
      <c r="D2218" s="578">
        <v>1</v>
      </c>
      <c r="E2218" s="579" t="s">
        <v>8</v>
      </c>
      <c r="F2218" s="569">
        <v>1</v>
      </c>
      <c r="G2218" s="725">
        <v>10</v>
      </c>
      <c r="H2218" s="726"/>
      <c r="I2218" s="591"/>
      <c r="J2218" s="614">
        <f>ROUNDUP(PRODUCT(D2218:I2218),2)</f>
        <v>10</v>
      </c>
      <c r="K2218" s="592" t="s">
        <v>9</v>
      </c>
    </row>
    <row r="2219" spans="1:11" ht="198.6" customHeight="1">
      <c r="A2219" s="568">
        <f>A2217+1</f>
        <v>35</v>
      </c>
      <c r="B2219" s="723" t="str">
        <f>'BOQ-C&amp;I'!C159</f>
        <v xml:space="preserve">Supply and Laying flooring with best quality approved colour leather Granite slab 18 to 20 mm thick in a single piece (Sira grey) for each step for the entire width of the stair, machine cut and machine high pre-polished, set in C.M 1:4 (1 of cement : 4 of M.sand) 20 mm thick topped with white cement slurry (for surface contact of the bottom of the granite slab) as per approved pattern, including finishing the joints with matching shade, cement slurry, cutting, edge chamfering and polishing rough, medium, nice tin-oxide polish. Rate including wastages, preparation of surface, necessary hacking in RCC surface, cutting to required shape, edging, edge moulding anti skid &amp; grooves as per drawing, tools and plants, fuel, curing,  cleaning, acid wash over finished surface, protection with Gypsum / Pop  layer  over  plastic sheet and removing the same before handing over as complete with all respects complying with relevant standard specification and as directed by the departmental officers. The  Sample should be got approvd. </v>
      </c>
      <c r="C2219" s="723"/>
      <c r="D2219" s="723"/>
      <c r="E2219" s="723"/>
      <c r="F2219" s="723"/>
      <c r="G2219" s="723"/>
      <c r="H2219" s="723"/>
      <c r="I2219" s="723"/>
      <c r="J2219" s="723"/>
      <c r="K2219" s="723"/>
    </row>
    <row r="2220" spans="1:11">
      <c r="A2220" s="568"/>
      <c r="B2220" s="584" t="s">
        <v>12</v>
      </c>
      <c r="C2220" s="577"/>
      <c r="G2220" s="612"/>
      <c r="H2220" s="598"/>
      <c r="I2220" s="598"/>
      <c r="J2220" s="598"/>
      <c r="K2220" s="581"/>
    </row>
    <row r="2221" spans="1:11">
      <c r="A2221" s="568"/>
      <c r="B2221" s="593" t="s">
        <v>1238</v>
      </c>
      <c r="C2221" s="577"/>
      <c r="D2221" s="578">
        <v>1</v>
      </c>
      <c r="E2221" s="579" t="s">
        <v>8</v>
      </c>
      <c r="F2221" s="569">
        <v>2</v>
      </c>
      <c r="G2221" s="612">
        <v>3.5</v>
      </c>
      <c r="H2221" s="598">
        <v>0.3</v>
      </c>
      <c r="I2221" s="598"/>
      <c r="J2221" s="598">
        <f t="shared" ref="J2221:J2224" si="210">ROUNDUP(PRODUCT(D2221:I2221),2)</f>
        <v>2.1</v>
      </c>
      <c r="K2221" s="581"/>
    </row>
    <row r="2222" spans="1:11">
      <c r="A2222" s="568"/>
      <c r="B2222" s="593" t="s">
        <v>1239</v>
      </c>
      <c r="C2222" s="577"/>
      <c r="D2222" s="578">
        <v>1</v>
      </c>
      <c r="E2222" s="579" t="s">
        <v>8</v>
      </c>
      <c r="F2222" s="569">
        <v>2</v>
      </c>
      <c r="G2222" s="612">
        <v>3.8</v>
      </c>
      <c r="H2222" s="598">
        <v>0.3</v>
      </c>
      <c r="I2222" s="598"/>
      <c r="J2222" s="598">
        <f t="shared" si="210"/>
        <v>2.2799999999999998</v>
      </c>
      <c r="K2222" s="581"/>
    </row>
    <row r="2223" spans="1:11">
      <c r="A2223" s="568"/>
      <c r="B2223" s="593" t="s">
        <v>31</v>
      </c>
      <c r="C2223" s="577"/>
      <c r="D2223" s="578">
        <v>1</v>
      </c>
      <c r="E2223" s="579" t="s">
        <v>8</v>
      </c>
      <c r="F2223" s="569">
        <v>3</v>
      </c>
      <c r="G2223" s="612">
        <v>3.5</v>
      </c>
      <c r="H2223" s="598"/>
      <c r="I2223" s="598">
        <v>0.15</v>
      </c>
      <c r="J2223" s="598">
        <f t="shared" si="210"/>
        <v>1.58</v>
      </c>
      <c r="K2223" s="581"/>
    </row>
    <row r="2224" spans="1:11">
      <c r="A2224" s="568"/>
      <c r="B2224" s="593"/>
      <c r="C2224" s="577"/>
      <c r="D2224" s="578">
        <v>1</v>
      </c>
      <c r="E2224" s="579" t="s">
        <v>8</v>
      </c>
      <c r="F2224" s="569">
        <v>3</v>
      </c>
      <c r="G2224" s="612">
        <v>3.8</v>
      </c>
      <c r="H2224" s="598"/>
      <c r="I2224" s="598">
        <v>0.15</v>
      </c>
      <c r="J2224" s="598">
        <f t="shared" si="210"/>
        <v>1.71</v>
      </c>
      <c r="K2224" s="581"/>
    </row>
    <row r="2225" spans="1:11">
      <c r="A2225" s="568"/>
      <c r="B2225" s="584" t="s">
        <v>1286</v>
      </c>
      <c r="C2225" s="577"/>
      <c r="G2225" s="612"/>
      <c r="H2225" s="598"/>
      <c r="I2225" s="598"/>
      <c r="J2225" s="598"/>
      <c r="K2225" s="581"/>
    </row>
    <row r="2226" spans="1:11">
      <c r="A2226" s="568"/>
      <c r="B2226" s="593" t="s">
        <v>1593</v>
      </c>
      <c r="C2226" s="577"/>
      <c r="D2226" s="578">
        <v>1</v>
      </c>
      <c r="E2226" s="579" t="s">
        <v>8</v>
      </c>
      <c r="F2226" s="569">
        <f>24</f>
        <v>24</v>
      </c>
      <c r="G2226" s="612">
        <v>1.5</v>
      </c>
      <c r="H2226" s="598">
        <v>0.3</v>
      </c>
      <c r="I2226" s="598"/>
      <c r="J2226" s="598">
        <f t="shared" ref="J2226:J2229" si="211">ROUNDUP(PRODUCT(D2226:I2226),2)</f>
        <v>10.8</v>
      </c>
      <c r="K2226" s="581"/>
    </row>
    <row r="2227" spans="1:11">
      <c r="A2227" s="568"/>
      <c r="B2227" s="593" t="s">
        <v>1594</v>
      </c>
      <c r="C2227" s="577"/>
      <c r="D2227" s="578">
        <v>3</v>
      </c>
      <c r="E2227" s="579" t="s">
        <v>8</v>
      </c>
      <c r="F2227" s="569">
        <v>21</v>
      </c>
      <c r="G2227" s="612">
        <v>1.5</v>
      </c>
      <c r="H2227" s="598">
        <v>0.3</v>
      </c>
      <c r="I2227" s="598"/>
      <c r="J2227" s="598">
        <f t="shared" si="211"/>
        <v>28.35</v>
      </c>
      <c r="K2227" s="581"/>
    </row>
    <row r="2228" spans="1:11">
      <c r="A2228" s="568"/>
      <c r="B2228" s="593" t="s">
        <v>1595</v>
      </c>
      <c r="C2228" s="577"/>
      <c r="D2228" s="578">
        <v>1</v>
      </c>
      <c r="E2228" s="579" t="s">
        <v>8</v>
      </c>
      <c r="F2228" s="569">
        <v>27</v>
      </c>
      <c r="G2228" s="612">
        <v>1.5</v>
      </c>
      <c r="H2228" s="598"/>
      <c r="I2228" s="598">
        <v>0.15</v>
      </c>
      <c r="J2228" s="598">
        <f t="shared" si="211"/>
        <v>6.08</v>
      </c>
      <c r="K2228" s="581"/>
    </row>
    <row r="2229" spans="1:11">
      <c r="A2229" s="568"/>
      <c r="B2229" s="593" t="s">
        <v>1596</v>
      </c>
      <c r="C2229" s="577"/>
      <c r="D2229" s="578">
        <v>3</v>
      </c>
      <c r="E2229" s="579" t="s">
        <v>8</v>
      </c>
      <c r="F2229" s="569">
        <v>23</v>
      </c>
      <c r="G2229" s="612">
        <v>1.5</v>
      </c>
      <c r="H2229" s="598"/>
      <c r="I2229" s="598">
        <v>0.15</v>
      </c>
      <c r="J2229" s="598">
        <f t="shared" si="211"/>
        <v>15.53</v>
      </c>
      <c r="K2229" s="581"/>
    </row>
    <row r="2230" spans="1:11">
      <c r="A2230" s="568"/>
      <c r="B2230" s="584" t="s">
        <v>598</v>
      </c>
      <c r="C2230" s="577"/>
      <c r="G2230" s="612"/>
      <c r="H2230" s="598"/>
      <c r="I2230" s="598"/>
      <c r="J2230" s="598"/>
      <c r="K2230" s="581"/>
    </row>
    <row r="2231" spans="1:11">
      <c r="A2231" s="568"/>
      <c r="B2231" s="593" t="s">
        <v>1593</v>
      </c>
      <c r="C2231" s="577"/>
      <c r="D2231" s="578">
        <v>1</v>
      </c>
      <c r="E2231" s="579" t="s">
        <v>8</v>
      </c>
      <c r="F2231" s="569">
        <f>24</f>
        <v>24</v>
      </c>
      <c r="G2231" s="612">
        <v>1.5</v>
      </c>
      <c r="H2231" s="598">
        <v>0.3</v>
      </c>
      <c r="I2231" s="598"/>
      <c r="J2231" s="598">
        <f t="shared" ref="J2231:J2234" si="212">ROUNDUP(PRODUCT(D2231:I2231),2)</f>
        <v>10.8</v>
      </c>
      <c r="K2231" s="581"/>
    </row>
    <row r="2232" spans="1:11">
      <c r="A2232" s="568"/>
      <c r="B2232" s="593" t="s">
        <v>1594</v>
      </c>
      <c r="C2232" s="577"/>
      <c r="D2232" s="578">
        <v>3</v>
      </c>
      <c r="E2232" s="579" t="s">
        <v>8</v>
      </c>
      <c r="F2232" s="569">
        <v>21</v>
      </c>
      <c r="G2232" s="612">
        <v>1.5</v>
      </c>
      <c r="H2232" s="598">
        <v>0.3</v>
      </c>
      <c r="I2232" s="598"/>
      <c r="J2232" s="598">
        <f t="shared" si="212"/>
        <v>28.35</v>
      </c>
      <c r="K2232" s="581"/>
    </row>
    <row r="2233" spans="1:11">
      <c r="A2233" s="568"/>
      <c r="B2233" s="593" t="s">
        <v>1595</v>
      </c>
      <c r="C2233" s="577"/>
      <c r="D2233" s="578">
        <v>1</v>
      </c>
      <c r="E2233" s="579" t="s">
        <v>8</v>
      </c>
      <c r="F2233" s="569">
        <v>27</v>
      </c>
      <c r="G2233" s="612">
        <v>1.5</v>
      </c>
      <c r="H2233" s="598"/>
      <c r="I2233" s="598">
        <v>0.15</v>
      </c>
      <c r="J2233" s="598">
        <f t="shared" si="212"/>
        <v>6.08</v>
      </c>
      <c r="K2233" s="581"/>
    </row>
    <row r="2234" spans="1:11">
      <c r="A2234" s="568"/>
      <c r="B2234" s="593" t="s">
        <v>1596</v>
      </c>
      <c r="C2234" s="577"/>
      <c r="D2234" s="578">
        <v>3</v>
      </c>
      <c r="E2234" s="579" t="s">
        <v>8</v>
      </c>
      <c r="F2234" s="569">
        <v>23</v>
      </c>
      <c r="G2234" s="612">
        <v>1.5</v>
      </c>
      <c r="H2234" s="598"/>
      <c r="I2234" s="598">
        <v>0.15</v>
      </c>
      <c r="J2234" s="598">
        <f t="shared" si="212"/>
        <v>15.53</v>
      </c>
      <c r="K2234" s="581"/>
    </row>
    <row r="2235" spans="1:11">
      <c r="A2235" s="568"/>
      <c r="B2235" s="593"/>
      <c r="C2235" s="577"/>
      <c r="G2235" s="612"/>
      <c r="H2235" s="598"/>
      <c r="I2235" s="598"/>
      <c r="J2235" s="598"/>
      <c r="K2235" s="581"/>
    </row>
    <row r="2236" spans="1:11" ht="36">
      <c r="A2236" s="568"/>
      <c r="B2236" s="584" t="s">
        <v>1295</v>
      </c>
      <c r="C2236" s="577"/>
      <c r="G2236" s="612"/>
      <c r="H2236" s="598"/>
      <c r="I2236" s="598"/>
      <c r="J2236" s="598"/>
      <c r="K2236" s="581"/>
    </row>
    <row r="2237" spans="1:11">
      <c r="A2237" s="568"/>
      <c r="B2237" s="593" t="s">
        <v>30</v>
      </c>
      <c r="C2237" s="577"/>
      <c r="D2237" s="578">
        <v>1</v>
      </c>
      <c r="E2237" s="579" t="s">
        <v>8</v>
      </c>
      <c r="F2237" s="569">
        <v>5</v>
      </c>
      <c r="G2237" s="612">
        <v>1.5</v>
      </c>
      <c r="H2237" s="598">
        <v>0.3</v>
      </c>
      <c r="I2237" s="598"/>
      <c r="J2237" s="598">
        <f t="shared" ref="J2237:J2238" si="213">ROUNDUP(PRODUCT(D2237:I2237),2)</f>
        <v>2.25</v>
      </c>
      <c r="K2237" s="581"/>
    </row>
    <row r="2238" spans="1:11">
      <c r="A2238" s="568"/>
      <c r="B2238" s="593" t="s">
        <v>31</v>
      </c>
      <c r="C2238" s="577"/>
      <c r="D2238" s="578">
        <v>1</v>
      </c>
      <c r="E2238" s="579" t="s">
        <v>8</v>
      </c>
      <c r="F2238" s="569">
        <v>6</v>
      </c>
      <c r="G2238" s="612">
        <v>1.5</v>
      </c>
      <c r="H2238" s="598"/>
      <c r="I2238" s="598">
        <v>0.15</v>
      </c>
      <c r="J2238" s="598">
        <f t="shared" si="213"/>
        <v>1.35</v>
      </c>
      <c r="K2238" s="581"/>
    </row>
    <row r="2239" spans="1:11">
      <c r="A2239" s="568"/>
      <c r="B2239" s="593" t="s">
        <v>1416</v>
      </c>
      <c r="C2239" s="599"/>
      <c r="D2239" s="578">
        <v>1</v>
      </c>
      <c r="E2239" s="579" t="s">
        <v>8</v>
      </c>
      <c r="F2239" s="569">
        <v>2</v>
      </c>
      <c r="G2239" s="600">
        <v>7.3</v>
      </c>
      <c r="H2239" s="600">
        <v>0.6</v>
      </c>
      <c r="I2239" s="600"/>
      <c r="J2239" s="597">
        <f t="shared" ref="J2239" si="214">PRODUCT(D2239:I2239)</f>
        <v>8.76</v>
      </c>
      <c r="K2239" s="581"/>
    </row>
    <row r="2240" spans="1:11">
      <c r="A2240" s="568"/>
      <c r="B2240" s="593"/>
      <c r="C2240" s="577"/>
      <c r="G2240" s="612"/>
      <c r="H2240" s="598"/>
      <c r="I2240" s="598"/>
      <c r="J2240" s="614">
        <f>SUM(J2221:J2239)</f>
        <v>141.54999999999995</v>
      </c>
      <c r="K2240" s="581"/>
    </row>
    <row r="2241" spans="1:11">
      <c r="A2241" s="568"/>
      <c r="B2241" s="622" t="s">
        <v>28</v>
      </c>
      <c r="C2241" s="577"/>
      <c r="G2241" s="612"/>
      <c r="H2241" s="598"/>
      <c r="I2241" s="598"/>
      <c r="J2241" s="605">
        <f>ROUNDUP(J2240,0)</f>
        <v>142</v>
      </c>
      <c r="K2241" s="576" t="s">
        <v>9</v>
      </c>
    </row>
    <row r="2242" spans="1:11" ht="183.6" customHeight="1">
      <c r="A2242" s="568">
        <f>A2219+1</f>
        <v>36</v>
      </c>
      <c r="B2242" s="723" t="str">
        <f>'BOQ-C&amp;I'!C160</f>
        <v xml:space="preserve">Supply and Laying with best quality approved Kotah stone slab  not  less than  20 mm thick and the  size of slab in general not less than 1200 x 600 mm machine cut and machine high pre-polished, set in C.M 1:4 (1 of cement : 4 of  M.sand ), 20 mm thick topped with white cement slurry (for surface contact of the bottom of the Kotah slab) as per approved pattern/design as per drawing  by using irrespective of  size and shape, including finishing the joints with white cement slurry, cutting, edge chamfering and polishing rough, medium, nice and acid wash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should be got approvd. </v>
      </c>
      <c r="C2242" s="723"/>
      <c r="D2242" s="723"/>
      <c r="E2242" s="723"/>
      <c r="F2242" s="723"/>
      <c r="G2242" s="723"/>
      <c r="H2242" s="723"/>
      <c r="I2242" s="723"/>
      <c r="J2242" s="723"/>
      <c r="K2242" s="723"/>
    </row>
    <row r="2243" spans="1:11">
      <c r="A2243" s="568"/>
      <c r="B2243" s="584" t="s">
        <v>12</v>
      </c>
      <c r="C2243" s="577"/>
      <c r="G2243" s="612"/>
      <c r="H2243" s="598"/>
      <c r="I2243" s="598"/>
      <c r="J2243" s="598"/>
      <c r="K2243" s="581"/>
    </row>
    <row r="2244" spans="1:11">
      <c r="A2244" s="568"/>
      <c r="B2244" s="593" t="s">
        <v>584</v>
      </c>
      <c r="C2244" s="577"/>
      <c r="D2244" s="578">
        <v>1</v>
      </c>
      <c r="E2244" s="579" t="s">
        <v>8</v>
      </c>
      <c r="F2244" s="569">
        <v>1</v>
      </c>
      <c r="G2244" s="612">
        <v>5</v>
      </c>
      <c r="H2244" s="598">
        <v>0.6</v>
      </c>
      <c r="I2244" s="598"/>
      <c r="J2244" s="598">
        <f t="shared" ref="J2244" si="215">ROUNDUP(PRODUCT(D2244:I2244),2)</f>
        <v>3</v>
      </c>
      <c r="K2244" s="581"/>
    </row>
    <row r="2245" spans="1:11">
      <c r="A2245" s="568"/>
      <c r="B2245" s="593" t="s">
        <v>1234</v>
      </c>
      <c r="C2245" s="577"/>
      <c r="G2245" s="621"/>
      <c r="H2245" s="594"/>
      <c r="I2245" s="598"/>
      <c r="J2245" s="598"/>
      <c r="K2245" s="581"/>
    </row>
    <row r="2246" spans="1:11">
      <c r="A2246" s="568"/>
      <c r="B2246" s="593" t="s">
        <v>24</v>
      </c>
      <c r="C2246" s="577"/>
      <c r="D2246" s="578">
        <v>1</v>
      </c>
      <c r="E2246" s="579" t="s">
        <v>8</v>
      </c>
      <c r="F2246" s="569">
        <v>3</v>
      </c>
      <c r="G2246" s="621">
        <v>2.6</v>
      </c>
      <c r="H2246" s="594">
        <v>0.6</v>
      </c>
      <c r="I2246" s="598"/>
      <c r="J2246" s="598">
        <f t="shared" ref="J2246" si="216">ROUNDUP(PRODUCT(D2246:I2246),2)</f>
        <v>4.68</v>
      </c>
      <c r="K2246" s="581"/>
    </row>
    <row r="2247" spans="1:11">
      <c r="A2247" s="568"/>
      <c r="B2247" s="593"/>
      <c r="C2247" s="577"/>
      <c r="G2247" s="612"/>
      <c r="H2247" s="598"/>
      <c r="I2247" s="598"/>
      <c r="J2247" s="614">
        <f>SUM(J2244:J2246)</f>
        <v>7.68</v>
      </c>
      <c r="K2247" s="581"/>
    </row>
    <row r="2248" spans="1:11">
      <c r="A2248" s="568"/>
      <c r="B2248" s="622" t="s">
        <v>28</v>
      </c>
      <c r="C2248" s="577"/>
      <c r="G2248" s="612"/>
      <c r="H2248" s="598"/>
      <c r="I2248" s="598"/>
      <c r="J2248" s="605">
        <f>ROUNDUP(J2247,0)</f>
        <v>8</v>
      </c>
      <c r="K2248" s="576" t="s">
        <v>9</v>
      </c>
    </row>
    <row r="2249" spans="1:11" ht="177" customHeight="1">
      <c r="A2249" s="568">
        <f>A2242+1</f>
        <v>37</v>
      </c>
      <c r="B2249" s="723" t="str">
        <f>'BOQ-C&amp;I'!C161</f>
        <v xml:space="preserve">Supply and Laying with best quality approved Kotah stone slab  not  less than  20 mm thick in a single piece for each step for the entire width of the stair machine cut and machine high pre-polished, set in C.M 1:4 (1 of cement : 4 of M.sand), 20 mm thick topped with white cement slurry (for surface contact of the bottom of the Kotah slab) as per approved drawing  including finishing the joints with white cement slurry, cutting, edge chamfering and polishing rough, medium, nice and acid wash  and tin-oxide polish. Rate  shall  include for preparation of base surface &amp; finished the surface, protection with gypsum/pop layer over plastic sheet and removing the same before handing over, work at all levels. For Raiser and Treads instead of floor including edge moulding anti skid &amp; grooves with polishing and non slippery stripes etc and as complete with all respects complying with relevant standard specification as directed by the departmental officers. The  Sample should be got approvd. </v>
      </c>
      <c r="C2249" s="723"/>
      <c r="D2249" s="723"/>
      <c r="E2249" s="723"/>
      <c r="F2249" s="723"/>
      <c r="G2249" s="723"/>
      <c r="H2249" s="723"/>
      <c r="I2249" s="723"/>
      <c r="J2249" s="723"/>
      <c r="K2249" s="723"/>
    </row>
    <row r="2250" spans="1:11">
      <c r="A2250" s="568"/>
      <c r="B2250" s="593" t="s">
        <v>506</v>
      </c>
      <c r="C2250" s="589"/>
      <c r="D2250" s="578">
        <v>1</v>
      </c>
      <c r="E2250" s="579" t="s">
        <v>8</v>
      </c>
      <c r="F2250" s="569">
        <v>1</v>
      </c>
      <c r="G2250" s="725">
        <v>10</v>
      </c>
      <c r="H2250" s="726"/>
      <c r="I2250" s="591"/>
      <c r="J2250" s="614">
        <f>ROUNDUP(PRODUCT(D2250:I2250),2)</f>
        <v>10</v>
      </c>
      <c r="K2250" s="576" t="s">
        <v>9</v>
      </c>
    </row>
    <row r="2251" spans="1:11" ht="128.44999999999999" customHeight="1">
      <c r="A2251" s="568">
        <f>+A2249+1</f>
        <v>38</v>
      </c>
      <c r="B2251" s="723" t="str">
        <f>'BOQ-C&amp;I'!C162</f>
        <v xml:space="preserve">Providing flooring with best quality approved make White ceramic tiles ranges, Size of tiles shall be 6mm thick of 300 x 300 mm size set in  CM 1:4, (1 of cement : 4 of M.sand),  20mm thick and  pointing the joints with Laticrete and pointing with Laticrete of approved make and as directed.  Rate shall include for preparation of base surface, and finishing the surface, cleaning the surface, and protecting and with Gypsum / POP layer  over  Plastic sheet and removing the same before handing over, work at  all levels etc. as complete in all respects and complying with relevant standard specifications and as directed .( Over Head Tanks &amp; U.G.Sump). The  Sample should be got approvd. </v>
      </c>
      <c r="C2251" s="723"/>
      <c r="D2251" s="723"/>
      <c r="E2251" s="723"/>
      <c r="F2251" s="723"/>
      <c r="G2251" s="723"/>
      <c r="H2251" s="723"/>
      <c r="I2251" s="723"/>
      <c r="J2251" s="723"/>
      <c r="K2251" s="723"/>
    </row>
    <row r="2252" spans="1:11">
      <c r="A2252" s="568"/>
      <c r="B2252" s="593" t="s">
        <v>792</v>
      </c>
      <c r="C2252" s="577"/>
      <c r="D2252" s="578">
        <v>1</v>
      </c>
      <c r="E2252" s="579" t="s">
        <v>8</v>
      </c>
      <c r="F2252" s="569">
        <v>3</v>
      </c>
      <c r="G2252" s="621">
        <v>2.2999999999999998</v>
      </c>
      <c r="H2252" s="594">
        <v>3</v>
      </c>
      <c r="I2252" s="598"/>
      <c r="J2252" s="598">
        <f t="shared" ref="J2252:J2253" si="217">ROUNDUP(PRODUCT(D2252:I2252),2)</f>
        <v>20.7</v>
      </c>
      <c r="K2252" s="581"/>
    </row>
    <row r="2253" spans="1:11">
      <c r="A2253" s="568"/>
      <c r="B2253" s="593" t="s">
        <v>1271</v>
      </c>
      <c r="C2253" s="577"/>
      <c r="D2253" s="578">
        <v>1</v>
      </c>
      <c r="E2253" s="579" t="s">
        <v>8</v>
      </c>
      <c r="F2253" s="569">
        <v>1</v>
      </c>
      <c r="G2253" s="612">
        <v>2.4</v>
      </c>
      <c r="H2253" s="598">
        <v>1.8</v>
      </c>
      <c r="I2253" s="598"/>
      <c r="J2253" s="598">
        <f t="shared" si="217"/>
        <v>4.32</v>
      </c>
      <c r="K2253" s="581"/>
    </row>
    <row r="2254" spans="1:11">
      <c r="A2254" s="568"/>
      <c r="B2254" s="593"/>
      <c r="C2254" s="577"/>
      <c r="D2254" s="578">
        <v>1</v>
      </c>
      <c r="E2254" s="579" t="s">
        <v>8</v>
      </c>
      <c r="F2254" s="569">
        <v>1</v>
      </c>
      <c r="G2254" s="612">
        <v>1</v>
      </c>
      <c r="H2254" s="598">
        <v>1.8</v>
      </c>
      <c r="I2254" s="598"/>
      <c r="J2254" s="598">
        <f t="shared" ref="J2254" si="218">ROUNDUP(PRODUCT(D2254:I2254),2)</f>
        <v>1.8</v>
      </c>
      <c r="K2254" s="581"/>
    </row>
    <row r="2255" spans="1:11">
      <c r="A2255" s="568"/>
      <c r="B2255" s="593"/>
      <c r="C2255" s="577"/>
      <c r="G2255" s="612"/>
      <c r="H2255" s="598"/>
      <c r="I2255" s="598"/>
      <c r="J2255" s="614">
        <f>SUM(J2252:J2254)</f>
        <v>26.82</v>
      </c>
      <c r="K2255" s="581"/>
    </row>
    <row r="2256" spans="1:11">
      <c r="A2256" s="568"/>
      <c r="B2256" s="622" t="s">
        <v>28</v>
      </c>
      <c r="C2256" s="577"/>
      <c r="G2256" s="612"/>
      <c r="H2256" s="598"/>
      <c r="I2256" s="598"/>
      <c r="J2256" s="605">
        <f>ROUNDUP(J2255,0)</f>
        <v>27</v>
      </c>
      <c r="K2256" s="576" t="s">
        <v>9</v>
      </c>
    </row>
    <row r="2257" spans="1:11">
      <c r="A2257" s="568"/>
      <c r="B2257" s="584" t="str">
        <f>'BOQ-C&amp;I'!C164</f>
        <v>SKIRTING WORKS</v>
      </c>
      <c r="C2257" s="577"/>
      <c r="G2257" s="612"/>
      <c r="H2257" s="598"/>
      <c r="I2257" s="598"/>
      <c r="J2257" s="598"/>
      <c r="K2257" s="581"/>
    </row>
    <row r="2258" spans="1:11" ht="89.25" customHeight="1">
      <c r="A2258" s="568">
        <f>+A2251+1</f>
        <v>39</v>
      </c>
      <c r="B2258" s="723" t="str">
        <f>'BOQ-C&amp;I'!C165</f>
        <v xml:space="preserve">Supply and Laying Double charged vitrified skirting 100 mm high of same approved flooring tile set in C.M 1:3 (1 of Cement : 3 of M.sand) 12 mm thick and pointing the joints with white cement compound and matching corner tile beading.   Rate including wastages, chasing of wall for flushing the tile inline with wall surface with necessary grooves, preparation of surface, necessary hacking in RCC surface, cutting of tiles to required shape, edging, curing,  cleaning, acid wash over finished surface, protection with Gypsum / Pop  layer  over  Plastic sheet and removing the same before handing over as complete with all respects complying with relevant standard specification and as directed by the departmental officers. The  Sample should be got approvd. </v>
      </c>
      <c r="C2258" s="723"/>
      <c r="D2258" s="723"/>
      <c r="E2258" s="723"/>
      <c r="F2258" s="723"/>
      <c r="G2258" s="723"/>
      <c r="H2258" s="723"/>
      <c r="I2258" s="723"/>
      <c r="J2258" s="723"/>
      <c r="K2258" s="723"/>
    </row>
    <row r="2259" spans="1:11">
      <c r="A2259" s="568"/>
      <c r="B2259" s="584" t="s">
        <v>12</v>
      </c>
      <c r="C2259" s="577"/>
      <c r="G2259" s="612"/>
      <c r="H2259" s="598"/>
      <c r="I2259" s="598"/>
      <c r="J2259" s="598"/>
      <c r="K2259" s="588"/>
    </row>
    <row r="2260" spans="1:11">
      <c r="A2260" s="568"/>
      <c r="B2260" s="593" t="s">
        <v>1096</v>
      </c>
      <c r="C2260" s="577"/>
      <c r="D2260" s="578">
        <v>1</v>
      </c>
      <c r="E2260" s="579" t="s">
        <v>8</v>
      </c>
      <c r="F2260" s="569">
        <v>1</v>
      </c>
      <c r="G2260" s="668">
        <v>41.15</v>
      </c>
      <c r="H2260" s="669"/>
      <c r="I2260" s="598"/>
      <c r="J2260" s="598">
        <f t="shared" ref="J2260:J2280" si="219">ROUNDUP(PRODUCT(D2260:I2260),2)</f>
        <v>41.15</v>
      </c>
      <c r="K2260" s="588"/>
    </row>
    <row r="2261" spans="1:11">
      <c r="A2261" s="568"/>
      <c r="B2261" s="593" t="s">
        <v>1098</v>
      </c>
      <c r="C2261" s="577"/>
      <c r="D2261" s="578">
        <v>1</v>
      </c>
      <c r="E2261" s="579" t="s">
        <v>8</v>
      </c>
      <c r="F2261" s="569">
        <v>1</v>
      </c>
      <c r="G2261" s="556">
        <v>20.399999999999999</v>
      </c>
      <c r="H2261" s="556"/>
      <c r="I2261" s="598"/>
      <c r="J2261" s="598">
        <f t="shared" si="219"/>
        <v>20.399999999999999</v>
      </c>
      <c r="K2261" s="588"/>
    </row>
    <row r="2262" spans="1:11">
      <c r="A2262" s="568"/>
      <c r="B2262" s="593" t="s">
        <v>592</v>
      </c>
      <c r="C2262" s="577"/>
      <c r="D2262" s="578">
        <v>1</v>
      </c>
      <c r="E2262" s="579" t="s">
        <v>8</v>
      </c>
      <c r="F2262" s="569">
        <v>1</v>
      </c>
      <c r="G2262" s="556">
        <v>20.399999999999999</v>
      </c>
      <c r="H2262" s="556"/>
      <c r="I2262" s="598"/>
      <c r="J2262" s="598">
        <f t="shared" si="219"/>
        <v>20.399999999999999</v>
      </c>
      <c r="K2262" s="588"/>
    </row>
    <row r="2263" spans="1:11">
      <c r="A2263" s="568"/>
      <c r="B2263" s="593" t="s">
        <v>1100</v>
      </c>
      <c r="C2263" s="577"/>
      <c r="D2263" s="578">
        <v>1</v>
      </c>
      <c r="E2263" s="579" t="s">
        <v>8</v>
      </c>
      <c r="F2263" s="569">
        <v>1</v>
      </c>
      <c r="G2263" s="556">
        <v>30.8</v>
      </c>
      <c r="H2263" s="556"/>
      <c r="I2263" s="598"/>
      <c r="J2263" s="598">
        <f t="shared" si="219"/>
        <v>30.8</v>
      </c>
      <c r="K2263" s="588"/>
    </row>
    <row r="2264" spans="1:11">
      <c r="A2264" s="568"/>
      <c r="B2264" s="593" t="s">
        <v>1105</v>
      </c>
      <c r="C2264" s="577"/>
      <c r="D2264" s="578">
        <v>1</v>
      </c>
      <c r="E2264" s="579" t="s">
        <v>8</v>
      </c>
      <c r="F2264" s="569">
        <v>1</v>
      </c>
      <c r="G2264" s="659">
        <v>37.049999999999997</v>
      </c>
      <c r="H2264" s="598"/>
      <c r="I2264" s="598"/>
      <c r="J2264" s="598">
        <f t="shared" si="219"/>
        <v>37.049999999999997</v>
      </c>
      <c r="K2264" s="588"/>
    </row>
    <row r="2265" spans="1:11">
      <c r="A2265" s="568"/>
      <c r="B2265" s="593" t="s">
        <v>1240</v>
      </c>
      <c r="C2265" s="577"/>
      <c r="D2265" s="578">
        <v>1</v>
      </c>
      <c r="E2265" s="579" t="s">
        <v>8</v>
      </c>
      <c r="F2265" s="569">
        <v>1</v>
      </c>
      <c r="G2265" s="659">
        <v>24.6</v>
      </c>
      <c r="H2265" s="598"/>
      <c r="I2265" s="598"/>
      <c r="J2265" s="598">
        <f t="shared" si="219"/>
        <v>24.6</v>
      </c>
      <c r="K2265" s="588"/>
    </row>
    <row r="2266" spans="1:11">
      <c r="A2266" s="568"/>
      <c r="B2266" s="593" t="s">
        <v>59</v>
      </c>
      <c r="C2266" s="577"/>
      <c r="D2266" s="578">
        <v>1</v>
      </c>
      <c r="E2266" s="579" t="s">
        <v>8</v>
      </c>
      <c r="F2266" s="569">
        <v>1</v>
      </c>
      <c r="G2266" s="659">
        <v>14.619999999999997</v>
      </c>
      <c r="H2266" s="598"/>
      <c r="I2266" s="598"/>
      <c r="J2266" s="598">
        <f t="shared" si="219"/>
        <v>14.62</v>
      </c>
      <c r="K2266" s="588"/>
    </row>
    <row r="2267" spans="1:11">
      <c r="A2267" s="568"/>
      <c r="B2267" s="593" t="s">
        <v>1241</v>
      </c>
      <c r="C2267" s="577"/>
      <c r="D2267" s="578">
        <v>1</v>
      </c>
      <c r="E2267" s="579" t="s">
        <v>8</v>
      </c>
      <c r="F2267" s="569">
        <v>2</v>
      </c>
      <c r="G2267" s="556">
        <v>14.1</v>
      </c>
      <c r="H2267" s="556"/>
      <c r="I2267" s="598"/>
      <c r="J2267" s="598">
        <f t="shared" si="219"/>
        <v>28.2</v>
      </c>
      <c r="K2267" s="588"/>
    </row>
    <row r="2268" spans="1:11">
      <c r="A2268" s="568"/>
      <c r="B2268" s="593" t="s">
        <v>1230</v>
      </c>
      <c r="C2268" s="577"/>
      <c r="D2268" s="578">
        <v>1</v>
      </c>
      <c r="E2268" s="579" t="s">
        <v>8</v>
      </c>
      <c r="F2268" s="569">
        <v>1</v>
      </c>
      <c r="G2268" s="556">
        <v>10.399999999999999</v>
      </c>
      <c r="H2268" s="556"/>
      <c r="I2268" s="598"/>
      <c r="J2268" s="598">
        <f t="shared" si="219"/>
        <v>10.4</v>
      </c>
      <c r="K2268" s="588"/>
    </row>
    <row r="2269" spans="1:11">
      <c r="A2269" s="568"/>
      <c r="B2269" s="593" t="s">
        <v>1104</v>
      </c>
      <c r="C2269" s="577"/>
      <c r="D2269" s="578">
        <v>1</v>
      </c>
      <c r="E2269" s="579" t="s">
        <v>8</v>
      </c>
      <c r="F2269" s="569">
        <v>1</v>
      </c>
      <c r="G2269" s="556">
        <v>17.3</v>
      </c>
      <c r="H2269" s="556"/>
      <c r="I2269" s="598"/>
      <c r="J2269" s="598">
        <f t="shared" si="219"/>
        <v>17.3</v>
      </c>
      <c r="K2269" s="588"/>
    </row>
    <row r="2270" spans="1:11">
      <c r="A2270" s="568"/>
      <c r="B2270" s="593" t="s">
        <v>1242</v>
      </c>
      <c r="C2270" s="577"/>
      <c r="D2270" s="578">
        <v>1</v>
      </c>
      <c r="E2270" s="579" t="s">
        <v>8</v>
      </c>
      <c r="F2270" s="569">
        <v>2</v>
      </c>
      <c r="G2270" s="556">
        <v>15.799999999999999</v>
      </c>
      <c r="H2270" s="556"/>
      <c r="I2270" s="598"/>
      <c r="J2270" s="598">
        <f t="shared" si="219"/>
        <v>31.6</v>
      </c>
      <c r="K2270" s="588"/>
    </row>
    <row r="2271" spans="1:11">
      <c r="A2271" s="568"/>
      <c r="B2271" s="593" t="s">
        <v>1110</v>
      </c>
      <c r="C2271" s="577"/>
      <c r="D2271" s="578">
        <v>1</v>
      </c>
      <c r="E2271" s="579" t="s">
        <v>8</v>
      </c>
      <c r="F2271" s="569">
        <v>1</v>
      </c>
      <c r="G2271" s="556">
        <v>17.2</v>
      </c>
      <c r="H2271" s="556"/>
      <c r="I2271" s="598"/>
      <c r="J2271" s="598">
        <f t="shared" si="219"/>
        <v>17.2</v>
      </c>
      <c r="K2271" s="588"/>
    </row>
    <row r="2272" spans="1:11">
      <c r="A2272" s="568"/>
      <c r="B2272" s="593" t="s">
        <v>1104</v>
      </c>
      <c r="C2272" s="577"/>
      <c r="D2272" s="578">
        <v>1</v>
      </c>
      <c r="E2272" s="579" t="s">
        <v>8</v>
      </c>
      <c r="F2272" s="569">
        <v>1</v>
      </c>
      <c r="G2272" s="670">
        <v>27.33</v>
      </c>
      <c r="H2272" s="556"/>
      <c r="I2272" s="598"/>
      <c r="J2272" s="598">
        <f t="shared" si="219"/>
        <v>27.33</v>
      </c>
      <c r="K2272" s="588"/>
    </row>
    <row r="2273" spans="1:11">
      <c r="A2273" s="568"/>
      <c r="B2273" s="593" t="s">
        <v>17</v>
      </c>
      <c r="C2273" s="577"/>
      <c r="G2273" s="670"/>
      <c r="H2273" s="556"/>
      <c r="I2273" s="598"/>
      <c r="J2273" s="598"/>
      <c r="K2273" s="588"/>
    </row>
    <row r="2274" spans="1:11">
      <c r="A2274" s="568"/>
      <c r="B2274" s="593" t="s">
        <v>19</v>
      </c>
      <c r="C2274" s="577"/>
      <c r="D2274" s="578">
        <v>-1</v>
      </c>
      <c r="E2274" s="579" t="s">
        <v>8</v>
      </c>
      <c r="F2274" s="569">
        <v>8</v>
      </c>
      <c r="G2274" s="670">
        <v>1.2</v>
      </c>
      <c r="H2274" s="556"/>
      <c r="I2274" s="598"/>
      <c r="J2274" s="598">
        <f t="shared" si="219"/>
        <v>-9.6</v>
      </c>
      <c r="K2274" s="588"/>
    </row>
    <row r="2275" spans="1:11">
      <c r="A2275" s="568"/>
      <c r="B2275" s="593" t="s">
        <v>29</v>
      </c>
      <c r="C2275" s="577"/>
      <c r="D2275" s="578">
        <v>-1</v>
      </c>
      <c r="E2275" s="579" t="s">
        <v>8</v>
      </c>
      <c r="F2275" s="569">
        <v>8</v>
      </c>
      <c r="G2275" s="659">
        <v>1</v>
      </c>
      <c r="H2275" s="598"/>
      <c r="I2275" s="598"/>
      <c r="J2275" s="598">
        <f t="shared" si="219"/>
        <v>-8</v>
      </c>
      <c r="K2275" s="588"/>
    </row>
    <row r="2276" spans="1:11">
      <c r="A2276" s="568"/>
      <c r="B2276" s="593" t="s">
        <v>585</v>
      </c>
      <c r="C2276" s="577"/>
      <c r="D2276" s="578">
        <v>-1</v>
      </c>
      <c r="E2276" s="579" t="s">
        <v>8</v>
      </c>
      <c r="F2276" s="569">
        <v>6</v>
      </c>
      <c r="G2276" s="659">
        <v>0.9</v>
      </c>
      <c r="H2276" s="598"/>
      <c r="I2276" s="598"/>
      <c r="J2276" s="598">
        <f t="shared" si="219"/>
        <v>-5.4</v>
      </c>
      <c r="K2276" s="588"/>
    </row>
    <row r="2277" spans="1:11">
      <c r="A2277" s="568"/>
      <c r="B2277" s="593" t="s">
        <v>902</v>
      </c>
      <c r="C2277" s="577"/>
      <c r="D2277" s="578">
        <v>-1</v>
      </c>
      <c r="E2277" s="579" t="s">
        <v>8</v>
      </c>
      <c r="F2277" s="569">
        <v>6</v>
      </c>
      <c r="G2277" s="659">
        <v>0.75</v>
      </c>
      <c r="H2277" s="598"/>
      <c r="I2277" s="598"/>
      <c r="J2277" s="598">
        <f t="shared" si="219"/>
        <v>-4.5</v>
      </c>
      <c r="K2277" s="588"/>
    </row>
    <row r="2278" spans="1:11">
      <c r="A2278" s="568"/>
      <c r="B2278" s="581" t="s">
        <v>1190</v>
      </c>
      <c r="C2278" s="581"/>
      <c r="D2278" s="578">
        <v>-1</v>
      </c>
      <c r="E2278" s="579" t="s">
        <v>8</v>
      </c>
      <c r="F2278" s="569">
        <v>2</v>
      </c>
      <c r="G2278" s="659">
        <v>1</v>
      </c>
      <c r="H2278" s="598"/>
      <c r="I2278" s="598"/>
      <c r="J2278" s="598">
        <f t="shared" si="219"/>
        <v>-2</v>
      </c>
      <c r="K2278" s="588"/>
    </row>
    <row r="2279" spans="1:11">
      <c r="A2279" s="568"/>
      <c r="B2279" s="593" t="s">
        <v>1243</v>
      </c>
      <c r="C2279" s="577"/>
      <c r="D2279" s="578">
        <v>-1</v>
      </c>
      <c r="E2279" s="579" t="s">
        <v>8</v>
      </c>
      <c r="F2279" s="569">
        <v>3</v>
      </c>
      <c r="G2279" s="659">
        <v>1.2</v>
      </c>
      <c r="H2279" s="598"/>
      <c r="I2279" s="598"/>
      <c r="J2279" s="598">
        <f t="shared" si="219"/>
        <v>-3.6</v>
      </c>
      <c r="K2279" s="588"/>
    </row>
    <row r="2280" spans="1:11">
      <c r="A2280" s="568"/>
      <c r="B2280" s="593" t="s">
        <v>1244</v>
      </c>
      <c r="C2280" s="577"/>
      <c r="D2280" s="578">
        <v>-1</v>
      </c>
      <c r="E2280" s="579" t="s">
        <v>8</v>
      </c>
      <c r="F2280" s="569">
        <v>1</v>
      </c>
      <c r="G2280" s="659">
        <v>1</v>
      </c>
      <c r="H2280" s="598"/>
      <c r="I2280" s="598"/>
      <c r="J2280" s="598">
        <f t="shared" si="219"/>
        <v>-1</v>
      </c>
      <c r="K2280" s="588"/>
    </row>
    <row r="2281" spans="1:11">
      <c r="A2281" s="568"/>
      <c r="B2281" s="593" t="s">
        <v>1246</v>
      </c>
      <c r="C2281" s="589"/>
      <c r="D2281" s="578">
        <v>1</v>
      </c>
      <c r="E2281" s="579" t="s">
        <v>8</v>
      </c>
      <c r="F2281" s="569">
        <v>1</v>
      </c>
      <c r="G2281" s="590">
        <v>3</v>
      </c>
      <c r="H2281" s="591"/>
      <c r="I2281" s="598"/>
      <c r="J2281" s="598">
        <f>ROUNDUP(PRODUCT(D2281:I2281),2)</f>
        <v>3</v>
      </c>
      <c r="K2281" s="588"/>
    </row>
    <row r="2282" spans="1:11">
      <c r="A2282" s="568"/>
      <c r="B2282" s="593" t="s">
        <v>1234</v>
      </c>
      <c r="C2282" s="589"/>
      <c r="G2282" s="590"/>
      <c r="H2282" s="591"/>
      <c r="I2282" s="598"/>
      <c r="J2282" s="598"/>
      <c r="K2282" s="588"/>
    </row>
    <row r="2283" spans="1:11">
      <c r="A2283" s="568"/>
      <c r="B2283" s="593" t="s">
        <v>1230</v>
      </c>
      <c r="C2283" s="577"/>
      <c r="D2283" s="578">
        <v>3</v>
      </c>
      <c r="E2283" s="579" t="s">
        <v>8</v>
      </c>
      <c r="F2283" s="569">
        <v>1</v>
      </c>
      <c r="G2283" s="612">
        <v>13.6</v>
      </c>
      <c r="H2283" s="598"/>
      <c r="I2283" s="598"/>
      <c r="J2283" s="598">
        <f t="shared" ref="J2283" si="220">ROUNDUP(PRODUCT(D2283:I2283),2)</f>
        <v>40.799999999999997</v>
      </c>
      <c r="K2283" s="588"/>
    </row>
    <row r="2284" spans="1:11">
      <c r="A2284" s="568"/>
      <c r="B2284" s="593" t="s">
        <v>24</v>
      </c>
      <c r="C2284" s="577"/>
      <c r="D2284" s="578">
        <v>3</v>
      </c>
      <c r="E2284" s="579" t="s">
        <v>8</v>
      </c>
      <c r="F2284" s="569">
        <v>1</v>
      </c>
      <c r="G2284" s="612">
        <v>12</v>
      </c>
      <c r="H2284" s="598"/>
      <c r="I2284" s="598"/>
      <c r="J2284" s="598">
        <f t="shared" ref="J2284" si="221">ROUNDUP(PRODUCT(D2284:I2284),2)</f>
        <v>36</v>
      </c>
      <c r="K2284" s="588"/>
    </row>
    <row r="2285" spans="1:11">
      <c r="A2285" s="568"/>
      <c r="B2285" s="593" t="s">
        <v>1247</v>
      </c>
      <c r="C2285" s="577"/>
      <c r="D2285" s="578">
        <v>3</v>
      </c>
      <c r="E2285" s="579" t="s">
        <v>8</v>
      </c>
      <c r="F2285" s="569">
        <v>1</v>
      </c>
      <c r="G2285" s="612">
        <v>5.3</v>
      </c>
      <c r="H2285" s="598"/>
      <c r="I2285" s="598"/>
      <c r="J2285" s="598">
        <f>ROUNDUP(PRODUCT(D2285:I2285),2)</f>
        <v>15.9</v>
      </c>
      <c r="K2285" s="588"/>
    </row>
    <row r="2286" spans="1:11">
      <c r="A2286" s="568"/>
      <c r="B2286" s="593" t="s">
        <v>1248</v>
      </c>
      <c r="C2286" s="577"/>
      <c r="D2286" s="578">
        <v>3</v>
      </c>
      <c r="E2286" s="579" t="s">
        <v>8</v>
      </c>
      <c r="F2286" s="569">
        <v>5</v>
      </c>
      <c r="G2286" s="612">
        <v>18.899999999999999</v>
      </c>
      <c r="H2286" s="598"/>
      <c r="I2286" s="598"/>
      <c r="J2286" s="598">
        <f t="shared" ref="J2286:J2287" si="222">ROUNDUP(PRODUCT(D2286:I2286),2)</f>
        <v>283.5</v>
      </c>
      <c r="K2286" s="588"/>
    </row>
    <row r="2287" spans="1:11">
      <c r="A2287" s="568"/>
      <c r="B2287" s="593" t="s">
        <v>1104</v>
      </c>
      <c r="C2287" s="577"/>
      <c r="D2287" s="578">
        <v>3</v>
      </c>
      <c r="E2287" s="579" t="s">
        <v>8</v>
      </c>
      <c r="F2287" s="569">
        <v>1</v>
      </c>
      <c r="G2287" s="612">
        <v>23.000000000000004</v>
      </c>
      <c r="H2287" s="598"/>
      <c r="I2287" s="598"/>
      <c r="J2287" s="598">
        <f t="shared" si="222"/>
        <v>69</v>
      </c>
      <c r="K2287" s="588"/>
    </row>
    <row r="2288" spans="1:11">
      <c r="A2288" s="568"/>
      <c r="B2288" s="593" t="s">
        <v>1251</v>
      </c>
      <c r="C2288" s="577"/>
      <c r="D2288" s="578">
        <v>3</v>
      </c>
      <c r="E2288" s="579" t="s">
        <v>8</v>
      </c>
      <c r="F2288" s="569">
        <v>5</v>
      </c>
      <c r="G2288" s="612">
        <v>20.399999999999999</v>
      </c>
      <c r="H2288" s="598"/>
      <c r="I2288" s="598"/>
      <c r="J2288" s="598">
        <f>ROUNDUP(PRODUCT(D2288:I2288),2)</f>
        <v>306</v>
      </c>
      <c r="K2288" s="588"/>
    </row>
    <row r="2289" spans="1:11">
      <c r="A2289" s="568"/>
      <c r="B2289" s="593" t="s">
        <v>1252</v>
      </c>
      <c r="C2289" s="577"/>
      <c r="D2289" s="578">
        <v>3</v>
      </c>
      <c r="E2289" s="579" t="s">
        <v>8</v>
      </c>
      <c r="F2289" s="569">
        <v>3</v>
      </c>
      <c r="G2289" s="612">
        <v>20.399999999999999</v>
      </c>
      <c r="H2289" s="598"/>
      <c r="I2289" s="598"/>
      <c r="J2289" s="598">
        <f>ROUNDUP(PRODUCT(D2289:I2289),2)</f>
        <v>183.6</v>
      </c>
      <c r="K2289" s="588"/>
    </row>
    <row r="2290" spans="1:11">
      <c r="A2290" s="568"/>
      <c r="B2290" s="593" t="s">
        <v>1104</v>
      </c>
      <c r="C2290" s="577"/>
      <c r="D2290" s="578">
        <v>3</v>
      </c>
      <c r="E2290" s="579" t="s">
        <v>8</v>
      </c>
      <c r="F2290" s="569">
        <v>1</v>
      </c>
      <c r="G2290" s="612">
        <v>23.23</v>
      </c>
      <c r="H2290" s="598"/>
      <c r="I2290" s="598"/>
      <c r="J2290" s="598">
        <f t="shared" ref="J2290:J2292" si="223">ROUNDUP(PRODUCT(D2290:I2290),2)</f>
        <v>69.69</v>
      </c>
      <c r="K2290" s="588"/>
    </row>
    <row r="2291" spans="1:11">
      <c r="A2291" s="568"/>
      <c r="B2291" s="593" t="s">
        <v>1104</v>
      </c>
      <c r="C2291" s="577"/>
      <c r="D2291" s="578">
        <v>3</v>
      </c>
      <c r="E2291" s="579" t="s">
        <v>8</v>
      </c>
      <c r="F2291" s="569">
        <v>1</v>
      </c>
      <c r="G2291" s="612">
        <v>14.549999999999999</v>
      </c>
      <c r="H2291" s="598"/>
      <c r="I2291" s="598"/>
      <c r="J2291" s="598">
        <f t="shared" si="223"/>
        <v>43.65</v>
      </c>
      <c r="K2291" s="581"/>
    </row>
    <row r="2292" spans="1:11">
      <c r="A2292" s="568"/>
      <c r="B2292" s="593" t="s">
        <v>1421</v>
      </c>
      <c r="C2292" s="577"/>
      <c r="D2292" s="578">
        <v>2</v>
      </c>
      <c r="E2292" s="579" t="s">
        <v>8</v>
      </c>
      <c r="F2292" s="569">
        <v>1</v>
      </c>
      <c r="G2292" s="612">
        <f>(2+1.13+1.94+0.63+2.5)-0.75</f>
        <v>7.4499999999999993</v>
      </c>
      <c r="H2292" s="598"/>
      <c r="I2292" s="598"/>
      <c r="J2292" s="598">
        <f t="shared" si="223"/>
        <v>14.9</v>
      </c>
      <c r="K2292" s="581"/>
    </row>
    <row r="2293" spans="1:11">
      <c r="A2293" s="568"/>
      <c r="B2293" s="593" t="s">
        <v>17</v>
      </c>
      <c r="C2293" s="577"/>
      <c r="G2293" s="598"/>
      <c r="H2293" s="598"/>
      <c r="I2293" s="598"/>
      <c r="J2293" s="598"/>
      <c r="K2293" s="581"/>
    </row>
    <row r="2294" spans="1:11">
      <c r="A2294" s="568"/>
      <c r="B2294" s="629" t="s">
        <v>585</v>
      </c>
      <c r="C2294" s="577"/>
      <c r="D2294" s="578">
        <v>-3</v>
      </c>
      <c r="E2294" s="579" t="s">
        <v>8</v>
      </c>
      <c r="F2294" s="569">
        <v>24</v>
      </c>
      <c r="G2294" s="598">
        <v>0.9</v>
      </c>
      <c r="H2294" s="598"/>
      <c r="I2294" s="598"/>
      <c r="J2294" s="598">
        <f t="shared" ref="J2294:J2297" si="224">ROUNDUP(PRODUCT(D2294:I2294),2)</f>
        <v>-64.8</v>
      </c>
      <c r="K2294" s="581"/>
    </row>
    <row r="2295" spans="1:11">
      <c r="A2295" s="568"/>
      <c r="B2295" s="593" t="s">
        <v>902</v>
      </c>
      <c r="C2295" s="577"/>
      <c r="D2295" s="578">
        <v>-3</v>
      </c>
      <c r="E2295" s="579" t="s">
        <v>8</v>
      </c>
      <c r="F2295" s="569">
        <v>15</v>
      </c>
      <c r="G2295" s="598">
        <v>0.75</v>
      </c>
      <c r="H2295" s="598"/>
      <c r="I2295" s="598"/>
      <c r="J2295" s="598">
        <f t="shared" si="224"/>
        <v>-33.75</v>
      </c>
      <c r="K2295" s="581"/>
    </row>
    <row r="2296" spans="1:11">
      <c r="A2296" s="568"/>
      <c r="B2296" s="593" t="s">
        <v>1216</v>
      </c>
      <c r="C2296" s="577"/>
      <c r="D2296" s="578">
        <v>-3</v>
      </c>
      <c r="E2296" s="579" t="s">
        <v>8</v>
      </c>
      <c r="F2296" s="569">
        <v>1</v>
      </c>
      <c r="G2296" s="598">
        <v>1</v>
      </c>
      <c r="H2296" s="598"/>
      <c r="I2296" s="598"/>
      <c r="J2296" s="598">
        <f t="shared" si="224"/>
        <v>-3</v>
      </c>
      <c r="K2296" s="581"/>
    </row>
    <row r="2297" spans="1:11">
      <c r="A2297" s="568"/>
      <c r="B2297" s="593" t="s">
        <v>1253</v>
      </c>
      <c r="C2297" s="577"/>
      <c r="D2297" s="578">
        <v>-3</v>
      </c>
      <c r="E2297" s="579" t="s">
        <v>8</v>
      </c>
      <c r="F2297" s="569">
        <v>2</v>
      </c>
      <c r="G2297" s="598">
        <v>1.2</v>
      </c>
      <c r="H2297" s="598"/>
      <c r="I2297" s="598"/>
      <c r="J2297" s="598">
        <f t="shared" si="224"/>
        <v>-7.2</v>
      </c>
      <c r="K2297" s="581"/>
    </row>
    <row r="2298" spans="1:11">
      <c r="A2298" s="568"/>
      <c r="B2298" s="593"/>
      <c r="C2298" s="577"/>
      <c r="G2298" s="612"/>
      <c r="H2298" s="598"/>
      <c r="I2298" s="598"/>
      <c r="J2298" s="614">
        <f>SUM(J2260:J2297)</f>
        <v>1244.24</v>
      </c>
      <c r="K2298" s="581"/>
    </row>
    <row r="2299" spans="1:11">
      <c r="A2299" s="568"/>
      <c r="B2299" s="622" t="s">
        <v>28</v>
      </c>
      <c r="C2299" s="577"/>
      <c r="G2299" s="612"/>
      <c r="H2299" s="598"/>
      <c r="I2299" s="598"/>
      <c r="J2299" s="605">
        <f>ROUNDUP(J2298,0)</f>
        <v>1245</v>
      </c>
      <c r="K2299" s="576" t="s">
        <v>33</v>
      </c>
    </row>
    <row r="2300" spans="1:11">
      <c r="A2300" s="568"/>
      <c r="B2300" s="593"/>
      <c r="C2300" s="577"/>
      <c r="G2300" s="612"/>
      <c r="H2300" s="598"/>
      <c r="I2300" s="598"/>
      <c r="J2300" s="598"/>
      <c r="K2300" s="581"/>
    </row>
    <row r="2301" spans="1:11" ht="178.9" customHeight="1">
      <c r="A2301" s="568">
        <f>A2258+1</f>
        <v>40</v>
      </c>
      <c r="B2301" s="723" t="str">
        <f>'BOQ-C&amp;I'!C166</f>
        <v>Supply and Laying 100 mm high skirting with best quality approved Kotah slab of thickness not less than 20 mm, machine cut and machine high pre-polished set in set in cement mortar 1:3(1 of Cement : 3 of M.sand) 12 mm thick . Rate  shall include for preparation of surface,  with tin-oxide / high gloss factory polish. Rate including wastages, filleting/ chamfering of the edges along with partial recessing of the skirting into masonry / gypsum wall, including chasing of wall with necessary grooves, preparation of surface, necessary hacking in RCC surface, cutting of tiles to required shape, edging, curing, cleaning, acid wash over finished surface, protection with Gypsum / Pop  layer  over  Plastic sheet and removing the same before handing over as complete with all respects complying with relevant standard specification and as directed by the departmental officers.</v>
      </c>
      <c r="C2301" s="723"/>
      <c r="D2301" s="723"/>
      <c r="E2301" s="723"/>
      <c r="F2301" s="723"/>
      <c r="G2301" s="723"/>
      <c r="H2301" s="723"/>
      <c r="I2301" s="723"/>
      <c r="J2301" s="723"/>
      <c r="K2301" s="723"/>
    </row>
    <row r="2302" spans="1:11">
      <c r="A2302" s="568"/>
      <c r="B2302" s="593" t="s">
        <v>506</v>
      </c>
      <c r="C2302" s="589"/>
      <c r="D2302" s="578">
        <v>1</v>
      </c>
      <c r="E2302" s="579" t="s">
        <v>8</v>
      </c>
      <c r="F2302" s="569">
        <v>1</v>
      </c>
      <c r="G2302" s="725">
        <v>20</v>
      </c>
      <c r="H2302" s="726"/>
      <c r="I2302" s="591"/>
      <c r="J2302" s="614">
        <f>ROUNDUP(PRODUCT(D2302:I2302),2)</f>
        <v>20</v>
      </c>
      <c r="K2302" s="592" t="s">
        <v>33</v>
      </c>
    </row>
    <row r="2303" spans="1:11" ht="94.15" customHeight="1">
      <c r="A2303" s="568">
        <f>A2301+1</f>
        <v>41</v>
      </c>
      <c r="B2303" s="723" t="str">
        <f>'BOQ-C&amp;I'!C167</f>
        <v>Providing and fixing of 75mm height Anodized Aluminum Skirting over partition, columns and walls with all accessories. The screws anchored should be recessed and covered with gaskets. Rate should include Covers at corners &amp; ends, screws, wall chipping, plastering, punning., complete at all levels and heights and as directed by Engineer-in- Charge.</v>
      </c>
      <c r="C2303" s="723"/>
      <c r="D2303" s="723"/>
      <c r="E2303" s="723"/>
      <c r="F2303" s="723"/>
      <c r="G2303" s="723"/>
      <c r="H2303" s="723"/>
      <c r="I2303" s="723"/>
      <c r="J2303" s="723"/>
      <c r="K2303" s="723"/>
    </row>
    <row r="2304" spans="1:11">
      <c r="A2304" s="568"/>
      <c r="B2304" s="593" t="s">
        <v>506</v>
      </c>
      <c r="C2304" s="589"/>
      <c r="D2304" s="578">
        <v>1</v>
      </c>
      <c r="E2304" s="579" t="s">
        <v>8</v>
      </c>
      <c r="F2304" s="569">
        <v>1</v>
      </c>
      <c r="G2304" s="725">
        <v>20</v>
      </c>
      <c r="H2304" s="726"/>
      <c r="I2304" s="591"/>
      <c r="J2304" s="614">
        <f>ROUNDUP(PRODUCT(D2304:I2304),2)</f>
        <v>20</v>
      </c>
      <c r="K2304" s="592" t="s">
        <v>33</v>
      </c>
    </row>
    <row r="2305" spans="1:11" ht="96" customHeight="1">
      <c r="A2305" s="568">
        <f>A2303+1</f>
        <v>42</v>
      </c>
      <c r="B2305" s="723" t="str">
        <f>'BOQ-C&amp;I'!C168</f>
        <v xml:space="preserve">Providing 100 mm high skirting with best quality approved granite slab of thickness not less than 18 mm, machine cut and leather finish set in cement mortar at all levels and all as per drawing. Rate  shall include for preparation of surface,  with tin-oxide / high gloss factory polish. Rate also to include filleting/ chamfering of the edges along with partial recessing of the skirting into masonry / gypsum wall. Sample should be got approvd. </v>
      </c>
      <c r="C2305" s="723"/>
      <c r="D2305" s="723"/>
      <c r="E2305" s="723"/>
      <c r="F2305" s="723"/>
      <c r="G2305" s="723"/>
      <c r="H2305" s="723"/>
      <c r="I2305" s="723"/>
      <c r="J2305" s="723"/>
      <c r="K2305" s="723"/>
    </row>
    <row r="2306" spans="1:11">
      <c r="A2306" s="568"/>
      <c r="B2306" s="584" t="s">
        <v>12</v>
      </c>
      <c r="C2306" s="577"/>
      <c r="G2306" s="612"/>
      <c r="H2306" s="598"/>
      <c r="I2306" s="598"/>
      <c r="J2306" s="598"/>
      <c r="K2306" s="581"/>
    </row>
    <row r="2307" spans="1:11">
      <c r="A2307" s="568"/>
      <c r="B2307" s="593" t="s">
        <v>594</v>
      </c>
      <c r="C2307" s="577"/>
      <c r="D2307" s="578">
        <v>1</v>
      </c>
      <c r="E2307" s="579" t="s">
        <v>8</v>
      </c>
      <c r="F2307" s="569">
        <v>1</v>
      </c>
      <c r="G2307" s="612">
        <v>3</v>
      </c>
      <c r="H2307" s="598"/>
      <c r="I2307" s="598"/>
      <c r="J2307" s="598">
        <f>ROUNDUP(PRODUCT(D2307:I2307),2)</f>
        <v>3</v>
      </c>
      <c r="K2307" s="581"/>
    </row>
    <row r="2308" spans="1:11">
      <c r="A2308" s="568"/>
      <c r="B2308" s="593"/>
      <c r="C2308" s="577"/>
      <c r="D2308" s="578">
        <v>1</v>
      </c>
      <c r="E2308" s="579" t="s">
        <v>8</v>
      </c>
      <c r="F2308" s="569">
        <v>1</v>
      </c>
      <c r="G2308" s="612">
        <v>3.3</v>
      </c>
      <c r="H2308" s="598"/>
      <c r="I2308" s="598"/>
      <c r="J2308" s="598">
        <f>ROUNDUP(PRODUCT(D2308:I2308),2)</f>
        <v>3.3</v>
      </c>
      <c r="K2308" s="581"/>
    </row>
    <row r="2309" spans="1:11">
      <c r="A2309" s="568"/>
      <c r="B2309" s="593" t="s">
        <v>595</v>
      </c>
      <c r="C2309" s="577"/>
      <c r="D2309" s="578">
        <v>1</v>
      </c>
      <c r="E2309" s="579" t="s">
        <v>8</v>
      </c>
      <c r="F2309" s="569">
        <v>1</v>
      </c>
      <c r="G2309" s="612">
        <v>3</v>
      </c>
      <c r="H2309" s="598"/>
      <c r="I2309" s="598"/>
      <c r="J2309" s="598">
        <f>ROUNDUP(PRODUCT(D2309:I2309),2)</f>
        <v>3</v>
      </c>
      <c r="K2309" s="581"/>
    </row>
    <row r="2310" spans="1:11">
      <c r="A2310" s="568"/>
      <c r="B2310" s="593"/>
      <c r="C2310" s="577"/>
      <c r="D2310" s="578">
        <v>1</v>
      </c>
      <c r="E2310" s="579" t="s">
        <v>8</v>
      </c>
      <c r="F2310" s="569">
        <v>1</v>
      </c>
      <c r="G2310" s="612">
        <v>3.3</v>
      </c>
      <c r="H2310" s="598"/>
      <c r="I2310" s="598"/>
      <c r="J2310" s="598">
        <f>ROUNDUP(PRODUCT(D2310:I2310),2)</f>
        <v>3.3</v>
      </c>
      <c r="K2310" s="581"/>
    </row>
    <row r="2311" spans="1:11">
      <c r="A2311" s="568"/>
      <c r="B2311" s="593" t="s">
        <v>596</v>
      </c>
      <c r="C2311" s="577"/>
      <c r="D2311" s="578">
        <v>1</v>
      </c>
      <c r="E2311" s="579" t="s">
        <v>8</v>
      </c>
      <c r="F2311" s="569">
        <v>1</v>
      </c>
      <c r="G2311" s="612">
        <v>10.18</v>
      </c>
      <c r="H2311" s="598"/>
      <c r="I2311" s="598"/>
      <c r="J2311" s="598">
        <f>ROUNDUP(PRODUCT(D2311:I2311),2)</f>
        <v>10.18</v>
      </c>
      <c r="K2311" s="581"/>
    </row>
    <row r="2312" spans="1:11">
      <c r="A2312" s="568"/>
      <c r="B2312" s="593" t="s">
        <v>123</v>
      </c>
      <c r="C2312" s="577"/>
      <c r="G2312" s="612"/>
      <c r="H2312" s="598"/>
      <c r="I2312" s="598"/>
      <c r="J2312" s="598"/>
      <c r="K2312" s="581"/>
    </row>
    <row r="2313" spans="1:11">
      <c r="A2313" s="568"/>
      <c r="B2313" s="584" t="s">
        <v>597</v>
      </c>
      <c r="C2313" s="577"/>
      <c r="G2313" s="612"/>
      <c r="H2313" s="598"/>
      <c r="I2313" s="598"/>
      <c r="J2313" s="598"/>
      <c r="K2313" s="581"/>
    </row>
    <row r="2314" spans="1:11">
      <c r="A2314" s="568"/>
      <c r="B2314" s="593" t="s">
        <v>596</v>
      </c>
      <c r="C2314" s="577"/>
      <c r="D2314" s="578">
        <v>1</v>
      </c>
      <c r="E2314" s="579" t="s">
        <v>8</v>
      </c>
      <c r="F2314" s="569">
        <v>4</v>
      </c>
      <c r="G2314" s="612">
        <v>10.18</v>
      </c>
      <c r="H2314" s="598"/>
      <c r="I2314" s="598"/>
      <c r="J2314" s="598">
        <f t="shared" ref="J2314:J2316" si="225">ROUNDUP(PRODUCT(D2314:I2314),2)</f>
        <v>40.72</v>
      </c>
      <c r="K2314" s="581"/>
    </row>
    <row r="2315" spans="1:11">
      <c r="A2315" s="568"/>
      <c r="B2315" s="593" t="s">
        <v>30</v>
      </c>
      <c r="C2315" s="577"/>
      <c r="D2315" s="578">
        <v>1</v>
      </c>
      <c r="E2315" s="579" t="s">
        <v>8</v>
      </c>
      <c r="F2315" s="569">
        <f>21*3</f>
        <v>63</v>
      </c>
      <c r="G2315" s="612">
        <v>0.3</v>
      </c>
      <c r="H2315" s="598"/>
      <c r="I2315" s="598"/>
      <c r="J2315" s="598">
        <f t="shared" si="225"/>
        <v>18.899999999999999</v>
      </c>
      <c r="K2315" s="581"/>
    </row>
    <row r="2316" spans="1:11">
      <c r="A2316" s="568"/>
      <c r="B2316" s="593" t="s">
        <v>31</v>
      </c>
      <c r="C2316" s="577"/>
      <c r="D2316" s="578">
        <v>1</v>
      </c>
      <c r="E2316" s="579" t="s">
        <v>8</v>
      </c>
      <c r="F2316" s="569">
        <f>22*3</f>
        <v>66</v>
      </c>
      <c r="G2316" s="612">
        <v>0.15</v>
      </c>
      <c r="H2316" s="598"/>
      <c r="I2316" s="598"/>
      <c r="J2316" s="598">
        <f t="shared" si="225"/>
        <v>9.9</v>
      </c>
      <c r="K2316" s="581"/>
    </row>
    <row r="2317" spans="1:11">
      <c r="A2317" s="568"/>
      <c r="B2317" s="584" t="s">
        <v>25</v>
      </c>
      <c r="C2317" s="577"/>
      <c r="G2317" s="612"/>
      <c r="H2317" s="598"/>
      <c r="I2317" s="598"/>
      <c r="J2317" s="598"/>
      <c r="K2317" s="581"/>
    </row>
    <row r="2318" spans="1:11">
      <c r="A2318" s="568"/>
      <c r="B2318" s="593" t="s">
        <v>32</v>
      </c>
      <c r="C2318" s="577"/>
      <c r="D2318" s="578">
        <v>1</v>
      </c>
      <c r="E2318" s="579" t="s">
        <v>8</v>
      </c>
      <c r="F2318" s="569">
        <v>1</v>
      </c>
      <c r="G2318" s="612">
        <v>10</v>
      </c>
      <c r="H2318" s="598"/>
      <c r="I2318" s="598"/>
      <c r="J2318" s="598">
        <f t="shared" ref="J2318" si="226">ROUNDUP(PRODUCT(D2318:I2318),2)</f>
        <v>10</v>
      </c>
      <c r="K2318" s="581"/>
    </row>
    <row r="2319" spans="1:11">
      <c r="A2319" s="568"/>
      <c r="B2319" s="584" t="s">
        <v>598</v>
      </c>
      <c r="C2319" s="577"/>
      <c r="G2319" s="612"/>
      <c r="H2319" s="598"/>
      <c r="I2319" s="598"/>
      <c r="J2319" s="598"/>
      <c r="K2319" s="581"/>
    </row>
    <row r="2320" spans="1:11">
      <c r="A2320" s="568"/>
      <c r="B2320" s="593" t="s">
        <v>596</v>
      </c>
      <c r="C2320" s="577"/>
      <c r="D2320" s="578">
        <v>1</v>
      </c>
      <c r="E2320" s="579" t="s">
        <v>8</v>
      </c>
      <c r="F2320" s="569">
        <v>4</v>
      </c>
      <c r="G2320" s="612">
        <v>10.18</v>
      </c>
      <c r="H2320" s="598"/>
      <c r="I2320" s="598"/>
      <c r="J2320" s="598">
        <f t="shared" ref="J2320:J2322" si="227">ROUNDUP(PRODUCT(D2320:I2320),2)</f>
        <v>40.72</v>
      </c>
      <c r="K2320" s="581"/>
    </row>
    <row r="2321" spans="1:11">
      <c r="A2321" s="568"/>
      <c r="B2321" s="593" t="s">
        <v>30</v>
      </c>
      <c r="C2321" s="577"/>
      <c r="D2321" s="578">
        <v>1</v>
      </c>
      <c r="E2321" s="579" t="s">
        <v>8</v>
      </c>
      <c r="F2321" s="569">
        <f>21*3</f>
        <v>63</v>
      </c>
      <c r="G2321" s="612">
        <v>0.3</v>
      </c>
      <c r="H2321" s="598"/>
      <c r="I2321" s="598"/>
      <c r="J2321" s="598">
        <f t="shared" si="227"/>
        <v>18.899999999999999</v>
      </c>
      <c r="K2321" s="581"/>
    </row>
    <row r="2322" spans="1:11">
      <c r="A2322" s="568"/>
      <c r="B2322" s="593" t="s">
        <v>31</v>
      </c>
      <c r="C2322" s="577"/>
      <c r="D2322" s="578">
        <v>1</v>
      </c>
      <c r="E2322" s="579" t="s">
        <v>8</v>
      </c>
      <c r="F2322" s="569">
        <f>22*3</f>
        <v>66</v>
      </c>
      <c r="G2322" s="612">
        <v>0.15</v>
      </c>
      <c r="H2322" s="598"/>
      <c r="I2322" s="598"/>
      <c r="J2322" s="598">
        <f t="shared" si="227"/>
        <v>9.9</v>
      </c>
      <c r="K2322" s="581"/>
    </row>
    <row r="2323" spans="1:11">
      <c r="A2323" s="568"/>
      <c r="B2323" s="584" t="s">
        <v>25</v>
      </c>
      <c r="C2323" s="577"/>
      <c r="G2323" s="612"/>
      <c r="H2323" s="598"/>
      <c r="I2323" s="598"/>
      <c r="J2323" s="598"/>
      <c r="K2323" s="581"/>
    </row>
    <row r="2324" spans="1:11">
      <c r="A2324" s="568"/>
      <c r="B2324" s="593" t="s">
        <v>32</v>
      </c>
      <c r="C2324" s="577"/>
      <c r="D2324" s="578">
        <v>1</v>
      </c>
      <c r="E2324" s="579" t="s">
        <v>8</v>
      </c>
      <c r="F2324" s="569">
        <v>1</v>
      </c>
      <c r="G2324" s="612">
        <v>10</v>
      </c>
      <c r="H2324" s="598"/>
      <c r="I2324" s="598"/>
      <c r="J2324" s="598">
        <f t="shared" ref="J2324" si="228">ROUNDUP(PRODUCT(D2324:I2324),2)</f>
        <v>10</v>
      </c>
      <c r="K2324" s="581"/>
    </row>
    <row r="2325" spans="1:11">
      <c r="A2325" s="568"/>
      <c r="B2325" s="593"/>
      <c r="C2325" s="577"/>
      <c r="G2325" s="612"/>
      <c r="H2325" s="598"/>
      <c r="I2325" s="598"/>
      <c r="J2325" s="614">
        <f>SUM(J2307:J2324)</f>
        <v>181.82000000000002</v>
      </c>
      <c r="K2325" s="581"/>
    </row>
    <row r="2326" spans="1:11">
      <c r="A2326" s="568"/>
      <c r="B2326" s="622" t="s">
        <v>28</v>
      </c>
      <c r="C2326" s="577"/>
      <c r="G2326" s="612"/>
      <c r="H2326" s="598"/>
      <c r="I2326" s="598"/>
      <c r="J2326" s="605">
        <f>ROUNDUP(J2325,0)</f>
        <v>182</v>
      </c>
      <c r="K2326" s="576" t="s">
        <v>33</v>
      </c>
    </row>
    <row r="2327" spans="1:11">
      <c r="A2327" s="568"/>
      <c r="B2327" s="584" t="str">
        <f>'BOQ-C&amp;I'!C170</f>
        <v>WALL DADO</v>
      </c>
      <c r="C2327" s="577"/>
      <c r="G2327" s="612"/>
      <c r="H2327" s="598"/>
      <c r="I2327" s="598"/>
      <c r="J2327" s="598"/>
      <c r="K2327" s="581"/>
    </row>
    <row r="2328" spans="1:11" ht="187.15" customHeight="1">
      <c r="A2328" s="568">
        <f>A2305+1</f>
        <v>43</v>
      </c>
      <c r="B2328" s="723" t="str">
        <f>'BOQ-C&amp;I'!C171</f>
        <v xml:space="preserve">Supply and Fixing Dadoing with best quality polished vitrified tile of approved make set in C.M 1:3 (1 of Cement : 3 of M.sand) 12 mm thick and pointing the joints with white cement compound and matching corner tile beading.   Rate including all materials, labour charges, wastages, necessary lead and lifts, working at all levels, transportation charges, loading, unloading, chasing of wall for flushing the tile inline with wall surface,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Engineer-in-charge.(Toilets). Sample should be got approvd. </v>
      </c>
      <c r="C2328" s="723"/>
      <c r="D2328" s="723"/>
      <c r="E2328" s="723"/>
      <c r="F2328" s="723"/>
      <c r="G2328" s="723"/>
      <c r="H2328" s="723"/>
      <c r="I2328" s="723"/>
      <c r="J2328" s="723"/>
      <c r="K2328" s="723"/>
    </row>
    <row r="2329" spans="1:11">
      <c r="A2329" s="568"/>
      <c r="B2329" s="584" t="s">
        <v>12</v>
      </c>
      <c r="C2329" s="577"/>
      <c r="G2329" s="612"/>
      <c r="H2329" s="598"/>
      <c r="I2329" s="598"/>
      <c r="J2329" s="598"/>
      <c r="K2329" s="631"/>
    </row>
    <row r="2330" spans="1:11">
      <c r="A2330" s="568"/>
      <c r="B2330" s="584" t="s">
        <v>13</v>
      </c>
      <c r="C2330" s="577"/>
      <c r="G2330" s="612"/>
      <c r="H2330" s="598"/>
      <c r="I2330" s="598"/>
      <c r="J2330" s="598"/>
      <c r="K2330" s="631"/>
    </row>
    <row r="2331" spans="1:11">
      <c r="A2331" s="568"/>
      <c r="B2331" s="593" t="s">
        <v>1096</v>
      </c>
      <c r="C2331" s="577"/>
      <c r="D2331" s="578">
        <v>1</v>
      </c>
      <c r="E2331" s="579" t="s">
        <v>8</v>
      </c>
      <c r="F2331" s="569">
        <v>1</v>
      </c>
      <c r="G2331" s="659">
        <f>(1.5+1.6)*2</f>
        <v>6.2</v>
      </c>
      <c r="H2331" s="598"/>
      <c r="I2331" s="598">
        <v>2.25</v>
      </c>
      <c r="J2331" s="598">
        <f t="shared" ref="J2331:J2340" si="229">ROUNDUP(PRODUCT(D2331:I2331),2)</f>
        <v>13.95</v>
      </c>
      <c r="K2331" s="631"/>
    </row>
    <row r="2332" spans="1:11">
      <c r="A2332" s="568"/>
      <c r="B2332" s="593" t="s">
        <v>1105</v>
      </c>
      <c r="C2332" s="577"/>
      <c r="G2332" s="659"/>
      <c r="H2332" s="598"/>
      <c r="I2332" s="598"/>
      <c r="J2332" s="598"/>
      <c r="K2332" s="631"/>
    </row>
    <row r="2333" spans="1:11">
      <c r="A2333" s="568"/>
      <c r="B2333" s="593" t="s">
        <v>1225</v>
      </c>
      <c r="C2333" s="577"/>
      <c r="D2333" s="578">
        <v>1</v>
      </c>
      <c r="E2333" s="579" t="s">
        <v>8</v>
      </c>
      <c r="F2333" s="569">
        <v>3</v>
      </c>
      <c r="G2333" s="659">
        <v>7.7</v>
      </c>
      <c r="H2333" s="598"/>
      <c r="I2333" s="598">
        <v>2.25</v>
      </c>
      <c r="J2333" s="598">
        <f t="shared" ref="J2333" si="230">ROUNDUP(PRODUCT(D2333:I2333),2)</f>
        <v>51.98</v>
      </c>
      <c r="K2333" s="631"/>
    </row>
    <row r="2334" spans="1:11">
      <c r="A2334" s="568"/>
      <c r="B2334" s="593" t="s">
        <v>1228</v>
      </c>
      <c r="C2334" s="577"/>
      <c r="D2334" s="578">
        <v>1</v>
      </c>
      <c r="E2334" s="579" t="s">
        <v>8</v>
      </c>
      <c r="F2334" s="569">
        <v>1</v>
      </c>
      <c r="G2334" s="659">
        <f>(2.2+2.2)*2</f>
        <v>8.8000000000000007</v>
      </c>
      <c r="H2334" s="598"/>
      <c r="I2334" s="598">
        <v>2.25</v>
      </c>
      <c r="J2334" s="598">
        <f t="shared" si="229"/>
        <v>19.8</v>
      </c>
      <c r="K2334" s="631"/>
    </row>
    <row r="2335" spans="1:11">
      <c r="A2335" s="568"/>
      <c r="B2335" s="593" t="s">
        <v>592</v>
      </c>
      <c r="C2335" s="577"/>
      <c r="D2335" s="578">
        <v>1</v>
      </c>
      <c r="E2335" s="579" t="s">
        <v>8</v>
      </c>
      <c r="F2335" s="569">
        <v>1</v>
      </c>
      <c r="G2335" s="659">
        <f>(2.2+2.2)*2</f>
        <v>8.8000000000000007</v>
      </c>
      <c r="H2335" s="598"/>
      <c r="I2335" s="598">
        <v>2.25</v>
      </c>
      <c r="J2335" s="598">
        <f t="shared" si="229"/>
        <v>19.8</v>
      </c>
      <c r="K2335" s="631"/>
    </row>
    <row r="2336" spans="1:11">
      <c r="A2336" s="568"/>
      <c r="B2336" s="593" t="s">
        <v>1102</v>
      </c>
      <c r="C2336" s="577"/>
      <c r="D2336" s="578">
        <v>1</v>
      </c>
      <c r="E2336" s="579" t="s">
        <v>8</v>
      </c>
      <c r="F2336" s="569">
        <v>1</v>
      </c>
      <c r="G2336" s="659">
        <f>(2.37+2.6)*2</f>
        <v>9.9400000000000013</v>
      </c>
      <c r="H2336" s="598"/>
      <c r="I2336" s="598">
        <v>2.25</v>
      </c>
      <c r="J2336" s="598">
        <f t="shared" si="229"/>
        <v>22.37</v>
      </c>
      <c r="K2336" s="631"/>
    </row>
    <row r="2337" spans="1:11">
      <c r="A2337" s="568"/>
      <c r="B2337" s="593" t="s">
        <v>1103</v>
      </c>
      <c r="C2337" s="577"/>
      <c r="D2337" s="578">
        <v>1</v>
      </c>
      <c r="E2337" s="579" t="s">
        <v>8</v>
      </c>
      <c r="F2337" s="569">
        <v>1</v>
      </c>
      <c r="G2337" s="659">
        <v>10.5</v>
      </c>
      <c r="H2337" s="598"/>
      <c r="I2337" s="598">
        <v>2.25</v>
      </c>
      <c r="J2337" s="598">
        <f t="shared" si="229"/>
        <v>23.630000000000003</v>
      </c>
      <c r="K2337" s="631"/>
    </row>
    <row r="2338" spans="1:11">
      <c r="A2338" s="568"/>
      <c r="B2338" s="593"/>
      <c r="C2338" s="577"/>
      <c r="D2338" s="578">
        <v>1</v>
      </c>
      <c r="E2338" s="579" t="s">
        <v>8</v>
      </c>
      <c r="F2338" s="569">
        <v>1</v>
      </c>
      <c r="G2338" s="659">
        <v>4.2</v>
      </c>
      <c r="H2338" s="598"/>
      <c r="I2338" s="598">
        <v>2.25</v>
      </c>
      <c r="J2338" s="598">
        <f t="shared" si="229"/>
        <v>9.4499999999999993</v>
      </c>
      <c r="K2338" s="631"/>
    </row>
    <row r="2339" spans="1:11">
      <c r="A2339" s="568"/>
      <c r="B2339" s="593" t="s">
        <v>1233</v>
      </c>
      <c r="C2339" s="577"/>
      <c r="D2339" s="578">
        <v>1</v>
      </c>
      <c r="E2339" s="579" t="s">
        <v>8</v>
      </c>
      <c r="F2339" s="569">
        <v>2</v>
      </c>
      <c r="G2339" s="659">
        <f>(2.2+2.2)*2</f>
        <v>8.8000000000000007</v>
      </c>
      <c r="H2339" s="598"/>
      <c r="I2339" s="598">
        <v>2.25</v>
      </c>
      <c r="J2339" s="598">
        <f t="shared" si="229"/>
        <v>39.6</v>
      </c>
      <c r="K2339" s="631"/>
    </row>
    <row r="2340" spans="1:11">
      <c r="A2340" s="568"/>
      <c r="B2340" s="593" t="s">
        <v>1110</v>
      </c>
      <c r="C2340" s="577"/>
      <c r="D2340" s="578">
        <v>1</v>
      </c>
      <c r="E2340" s="579" t="s">
        <v>8</v>
      </c>
      <c r="F2340" s="569">
        <v>1</v>
      </c>
      <c r="G2340" s="659">
        <f>(1.5+1.6)*2</f>
        <v>6.2</v>
      </c>
      <c r="H2340" s="598"/>
      <c r="I2340" s="598">
        <v>2.25</v>
      </c>
      <c r="J2340" s="598">
        <f t="shared" si="229"/>
        <v>13.95</v>
      </c>
      <c r="K2340" s="631"/>
    </row>
    <row r="2341" spans="1:11">
      <c r="A2341" s="568"/>
      <c r="B2341" s="593" t="s">
        <v>1389</v>
      </c>
      <c r="C2341" s="599"/>
      <c r="D2341" s="578">
        <v>1</v>
      </c>
      <c r="E2341" s="579" t="s">
        <v>8</v>
      </c>
      <c r="F2341" s="569">
        <v>1</v>
      </c>
      <c r="G2341" s="600">
        <f>(1.2+2)*2</f>
        <v>6.4</v>
      </c>
      <c r="H2341" s="598"/>
      <c r="I2341" s="598">
        <v>2.25</v>
      </c>
      <c r="J2341" s="597">
        <f t="shared" ref="J2341" si="231">PRODUCT(D2341:I2341)</f>
        <v>14.4</v>
      </c>
      <c r="K2341" s="631"/>
    </row>
    <row r="2342" spans="1:11">
      <c r="A2342" s="568"/>
      <c r="B2342" s="584" t="s">
        <v>17</v>
      </c>
      <c r="C2342" s="577"/>
      <c r="G2342" s="671"/>
      <c r="H2342" s="598"/>
      <c r="I2342" s="598"/>
      <c r="J2342" s="598"/>
      <c r="K2342" s="631"/>
    </row>
    <row r="2343" spans="1:11">
      <c r="A2343" s="568"/>
      <c r="B2343" s="593" t="s">
        <v>580</v>
      </c>
      <c r="C2343" s="577"/>
      <c r="D2343" s="578">
        <v>-1</v>
      </c>
      <c r="E2343" s="579" t="s">
        <v>8</v>
      </c>
      <c r="F2343" s="569">
        <v>12</v>
      </c>
      <c r="G2343" s="659">
        <v>0.6</v>
      </c>
      <c r="H2343" s="598"/>
      <c r="I2343" s="598">
        <v>0.75</v>
      </c>
      <c r="J2343" s="598">
        <f t="shared" ref="J2343" si="232">ROUNDUP(PRODUCT(D2343:I2343),2)</f>
        <v>-5.4</v>
      </c>
      <c r="K2343" s="631"/>
    </row>
    <row r="2344" spans="1:11">
      <c r="A2344" s="568"/>
      <c r="B2344" s="593" t="s">
        <v>902</v>
      </c>
      <c r="C2344" s="577"/>
      <c r="D2344" s="578">
        <v>-1</v>
      </c>
      <c r="E2344" s="579" t="s">
        <v>8</v>
      </c>
      <c r="F2344" s="569">
        <v>7</v>
      </c>
      <c r="G2344" s="659">
        <v>0.75</v>
      </c>
      <c r="H2344" s="598"/>
      <c r="I2344" s="598">
        <v>2.1</v>
      </c>
      <c r="J2344" s="598">
        <f t="shared" ref="J2344:J2345" si="233">ROUNDUP(PRODUCT(D2344:I2344),2)</f>
        <v>-11.03</v>
      </c>
      <c r="K2344" s="631"/>
    </row>
    <row r="2345" spans="1:11">
      <c r="A2345" s="568"/>
      <c r="B2345" s="593" t="s">
        <v>1190</v>
      </c>
      <c r="C2345" s="577"/>
      <c r="D2345" s="578">
        <v>-1</v>
      </c>
      <c r="E2345" s="579" t="s">
        <v>8</v>
      </c>
      <c r="F2345" s="569">
        <v>2</v>
      </c>
      <c r="G2345" s="659">
        <v>1</v>
      </c>
      <c r="H2345" s="598"/>
      <c r="I2345" s="598">
        <v>2.1</v>
      </c>
      <c r="J2345" s="598">
        <f t="shared" si="233"/>
        <v>-4.2</v>
      </c>
      <c r="K2345" s="631"/>
    </row>
    <row r="2346" spans="1:11">
      <c r="A2346" s="568"/>
      <c r="B2346" s="593" t="s">
        <v>19</v>
      </c>
      <c r="C2346" s="577"/>
      <c r="D2346" s="578">
        <v>-1</v>
      </c>
      <c r="E2346" s="579" t="s">
        <v>8</v>
      </c>
      <c r="F2346" s="569">
        <v>2</v>
      </c>
      <c r="G2346" s="659">
        <v>1</v>
      </c>
      <c r="H2346" s="598"/>
      <c r="I2346" s="598">
        <v>2.1</v>
      </c>
      <c r="J2346" s="598">
        <f t="shared" ref="J2346:J2347" si="234">ROUNDUP(PRODUCT(D2346:I2346),2)</f>
        <v>-4.2</v>
      </c>
      <c r="K2346" s="631"/>
    </row>
    <row r="2347" spans="1:11">
      <c r="A2347" s="568"/>
      <c r="B2347" s="593" t="s">
        <v>903</v>
      </c>
      <c r="C2347" s="577"/>
      <c r="D2347" s="578">
        <v>-1</v>
      </c>
      <c r="F2347" s="569">
        <v>1</v>
      </c>
      <c r="G2347" s="671">
        <v>0.75</v>
      </c>
      <c r="H2347" s="598"/>
      <c r="I2347" s="598">
        <v>2.1</v>
      </c>
      <c r="J2347" s="598">
        <f t="shared" si="234"/>
        <v>-1.58</v>
      </c>
      <c r="K2347" s="631"/>
    </row>
    <row r="2348" spans="1:11">
      <c r="A2348" s="568"/>
      <c r="B2348" s="584" t="s">
        <v>1234</v>
      </c>
      <c r="C2348" s="577"/>
      <c r="G2348" s="612"/>
      <c r="H2348" s="598"/>
      <c r="I2348" s="598"/>
      <c r="J2348" s="598"/>
      <c r="K2348" s="631"/>
    </row>
    <row r="2349" spans="1:11">
      <c r="A2349" s="568"/>
      <c r="B2349" s="584" t="s">
        <v>13</v>
      </c>
      <c r="C2349" s="577"/>
      <c r="G2349" s="612"/>
      <c r="H2349" s="598"/>
      <c r="I2349" s="598"/>
      <c r="J2349" s="598"/>
      <c r="K2349" s="631"/>
    </row>
    <row r="2350" spans="1:11">
      <c r="A2350" s="568"/>
      <c r="B2350" s="593" t="s">
        <v>1225</v>
      </c>
      <c r="C2350" s="577"/>
      <c r="D2350" s="578">
        <v>3</v>
      </c>
      <c r="E2350" s="579" t="s">
        <v>8</v>
      </c>
      <c r="F2350" s="569">
        <v>5</v>
      </c>
      <c r="G2350" s="659">
        <v>7.7</v>
      </c>
      <c r="H2350" s="598"/>
      <c r="I2350" s="598">
        <v>2.25</v>
      </c>
      <c r="J2350" s="598">
        <f t="shared" ref="J2350:J2354" si="235">ROUNDUP(PRODUCT(D2350:I2350),2)</f>
        <v>259.88</v>
      </c>
      <c r="K2350" s="631"/>
    </row>
    <row r="2351" spans="1:11">
      <c r="A2351" s="568"/>
      <c r="B2351" s="672" t="s">
        <v>1224</v>
      </c>
      <c r="C2351" s="577"/>
      <c r="D2351" s="578">
        <v>3</v>
      </c>
      <c r="E2351" s="579" t="s">
        <v>8</v>
      </c>
      <c r="F2351" s="569">
        <v>3</v>
      </c>
      <c r="G2351" s="598">
        <f>(1.15+1.4)*2</f>
        <v>5.0999999999999996</v>
      </c>
      <c r="H2351" s="598"/>
      <c r="I2351" s="598">
        <v>2.25</v>
      </c>
      <c r="J2351" s="598">
        <f t="shared" si="235"/>
        <v>103.28</v>
      </c>
      <c r="K2351" s="631"/>
    </row>
    <row r="2352" spans="1:11">
      <c r="A2352" s="568"/>
      <c r="B2352" s="672" t="s">
        <v>1224</v>
      </c>
      <c r="C2352" s="631"/>
      <c r="D2352" s="578">
        <v>3</v>
      </c>
      <c r="E2352" s="579" t="s">
        <v>8</v>
      </c>
      <c r="F2352" s="569">
        <v>1</v>
      </c>
      <c r="G2352" s="598">
        <f>(1.5+1.33)*2</f>
        <v>5.66</v>
      </c>
      <c r="H2352" s="598"/>
      <c r="I2352" s="598">
        <v>2.25</v>
      </c>
      <c r="J2352" s="598">
        <f t="shared" si="235"/>
        <v>38.21</v>
      </c>
      <c r="K2352" s="631"/>
    </row>
    <row r="2353" spans="1:11">
      <c r="A2353" s="568"/>
      <c r="B2353" s="635" t="s">
        <v>1099</v>
      </c>
      <c r="C2353" s="631"/>
      <c r="D2353" s="578">
        <v>3</v>
      </c>
      <c r="E2353" s="579" t="s">
        <v>8</v>
      </c>
      <c r="F2353" s="569">
        <v>4</v>
      </c>
      <c r="G2353" s="598">
        <f>(1.5+1.25)*2</f>
        <v>5.5</v>
      </c>
      <c r="H2353" s="598"/>
      <c r="I2353" s="598">
        <v>2.25</v>
      </c>
      <c r="J2353" s="598">
        <f t="shared" si="235"/>
        <v>148.5</v>
      </c>
      <c r="K2353" s="631"/>
    </row>
    <row r="2354" spans="1:11">
      <c r="A2354" s="568"/>
      <c r="B2354" s="635" t="s">
        <v>1597</v>
      </c>
      <c r="C2354" s="673"/>
      <c r="D2354" s="578">
        <v>3</v>
      </c>
      <c r="E2354" s="579" t="s">
        <v>8</v>
      </c>
      <c r="F2354" s="569">
        <v>1</v>
      </c>
      <c r="G2354" s="671">
        <v>22.3</v>
      </c>
      <c r="H2354" s="598"/>
      <c r="I2354" s="598">
        <v>2.25</v>
      </c>
      <c r="J2354" s="598">
        <f t="shared" si="235"/>
        <v>150.53</v>
      </c>
      <c r="K2354" s="631"/>
    </row>
    <row r="2355" spans="1:11">
      <c r="A2355" s="568"/>
      <c r="B2355" s="584" t="s">
        <v>17</v>
      </c>
      <c r="C2355" s="577"/>
      <c r="G2355" s="671"/>
      <c r="H2355" s="598"/>
      <c r="I2355" s="598"/>
      <c r="J2355" s="598"/>
      <c r="K2355" s="631"/>
    </row>
    <row r="2356" spans="1:11">
      <c r="A2356" s="568"/>
      <c r="B2356" s="593" t="s">
        <v>580</v>
      </c>
      <c r="C2356" s="577"/>
      <c r="D2356" s="578">
        <v>-3</v>
      </c>
      <c r="E2356" s="579" t="s">
        <v>8</v>
      </c>
      <c r="F2356" s="569">
        <v>13</v>
      </c>
      <c r="G2356" s="659">
        <v>0.6</v>
      </c>
      <c r="H2356" s="598"/>
      <c r="I2356" s="598">
        <v>0.75</v>
      </c>
      <c r="J2356" s="598">
        <f t="shared" ref="J2356" si="236">ROUNDUP(PRODUCT(D2356:I2356),2)</f>
        <v>-17.55</v>
      </c>
      <c r="K2356" s="631"/>
    </row>
    <row r="2357" spans="1:11">
      <c r="A2357" s="568"/>
      <c r="B2357" s="593" t="s">
        <v>902</v>
      </c>
      <c r="C2357" s="577"/>
      <c r="D2357" s="578">
        <v>-3</v>
      </c>
      <c r="E2357" s="579" t="s">
        <v>8</v>
      </c>
      <c r="F2357" s="569">
        <f>16+5</f>
        <v>21</v>
      </c>
      <c r="G2357" s="659">
        <v>0.75</v>
      </c>
      <c r="H2357" s="598"/>
      <c r="I2357" s="598">
        <v>2.1</v>
      </c>
      <c r="J2357" s="598">
        <f t="shared" ref="J2357:J2358" si="237">ROUNDUP(PRODUCT(D2357:I2357),2)</f>
        <v>-99.23</v>
      </c>
      <c r="K2357" s="631"/>
    </row>
    <row r="2358" spans="1:11">
      <c r="A2358" s="568"/>
      <c r="B2358" s="593" t="s">
        <v>19</v>
      </c>
      <c r="C2358" s="577"/>
      <c r="D2358" s="578">
        <v>-1</v>
      </c>
      <c r="E2358" s="579" t="s">
        <v>8</v>
      </c>
      <c r="F2358" s="569">
        <v>1</v>
      </c>
      <c r="G2358" s="659">
        <v>1</v>
      </c>
      <c r="H2358" s="598"/>
      <c r="I2358" s="598">
        <v>2.1</v>
      </c>
      <c r="J2358" s="598">
        <f t="shared" si="237"/>
        <v>-2.1</v>
      </c>
      <c r="K2358" s="631"/>
    </row>
    <row r="2359" spans="1:11">
      <c r="A2359" s="568"/>
      <c r="B2359" s="593"/>
      <c r="C2359" s="577"/>
      <c r="G2359" s="612"/>
      <c r="H2359" s="598"/>
      <c r="I2359" s="598"/>
      <c r="J2359" s="614">
        <f>SUM(J2331:J2358)</f>
        <v>784.04</v>
      </c>
      <c r="K2359" s="581"/>
    </row>
    <row r="2360" spans="1:11">
      <c r="A2360" s="568"/>
      <c r="B2360" s="622" t="s">
        <v>28</v>
      </c>
      <c r="C2360" s="577"/>
      <c r="G2360" s="612"/>
      <c r="H2360" s="598"/>
      <c r="I2360" s="598"/>
      <c r="J2360" s="605">
        <f>ROUNDUP(J2359,0)</f>
        <v>785</v>
      </c>
      <c r="K2360" s="576" t="s">
        <v>9</v>
      </c>
    </row>
    <row r="2361" spans="1:11" ht="160.9" customHeight="1">
      <c r="A2361" s="568">
        <f>A2328+1</f>
        <v>44</v>
      </c>
      <c r="B2361" s="723" t="str">
        <f>'BOQ-C&amp;I'!C172</f>
        <v>Providing dadoing with machine cut polished best quality approved colour granite slab (Synthetic grey, Parasise colour) of thickness not less than 20mm of size 1200x600 / 900x600 mm, set in C.M 1:3 ( 1 of cement : 3 of M.sand ), thickness not less than 20 mm including pointing with matching colour of Latapoxy SP100 and fixing with stainless steel clamps 6mm dia. and 100 mm long welded with 40 mm and 25 mm long pieces at two ends to right angle, the former with horizontal position to be embedded in brick wall / concrete surface and the later with vertical position to be inserted and caulked in to the holes of the slab, drilled for the purpose, both forming 'T' shape and cement grouted including edge polishing wherever required and forming groove at joints as directed at all levels.</v>
      </c>
      <c r="C2361" s="723"/>
      <c r="D2361" s="723"/>
      <c r="E2361" s="723"/>
      <c r="F2361" s="723"/>
      <c r="G2361" s="723"/>
      <c r="H2361" s="723"/>
      <c r="I2361" s="723"/>
      <c r="J2361" s="723"/>
      <c r="K2361" s="723"/>
    </row>
    <row r="2362" spans="1:11" ht="191.25" customHeight="1">
      <c r="A2362" s="568"/>
      <c r="B2362" s="723" t="str">
        <f>'BOQ-C&amp;I'!C173</f>
        <v xml:space="preserve">Rate including all materials, labour charges, wastages, necessary lead and lifts, working at all levels, transportation charges, loading, unloading, filleting/ chamfering of the edges along with partial recessing of the skirting into masonry,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departmental officers. Rate shall include for preparation of base surface, cleaning, chamfering, edge polishing, with tin-oxide / high gloss factory polish, provision of 'V' shaped notch cuts along the horizontal and vertical joints of specified size as detailed in the drawing protection with Gypsum/POP layer over plastic sheet etc. complete, as directed. Sample should be got approvd. </v>
      </c>
      <c r="C2362" s="723"/>
      <c r="D2362" s="723"/>
      <c r="E2362" s="723"/>
      <c r="F2362" s="723"/>
      <c r="G2362" s="723"/>
      <c r="H2362" s="723"/>
      <c r="I2362" s="723"/>
      <c r="J2362" s="723"/>
      <c r="K2362" s="723"/>
    </row>
    <row r="2363" spans="1:11">
      <c r="A2363" s="568"/>
      <c r="B2363" s="584" t="s">
        <v>16</v>
      </c>
      <c r="C2363" s="577"/>
      <c r="G2363" s="612"/>
      <c r="H2363" s="598"/>
      <c r="I2363" s="598"/>
      <c r="J2363" s="598"/>
      <c r="K2363" s="581"/>
    </row>
    <row r="2364" spans="1:11">
      <c r="A2364" s="568"/>
      <c r="B2364" s="593" t="s">
        <v>558</v>
      </c>
      <c r="C2364" s="577"/>
      <c r="D2364" s="578">
        <v>1</v>
      </c>
      <c r="E2364" s="579" t="s">
        <v>8</v>
      </c>
      <c r="F2364" s="569">
        <v>4</v>
      </c>
      <c r="G2364" s="612">
        <v>2.5</v>
      </c>
      <c r="H2364" s="598"/>
      <c r="I2364" s="598">
        <v>2.95</v>
      </c>
      <c r="J2364" s="598">
        <f t="shared" ref="J2364:J2366" si="238">ROUNDUP(PRODUCT(D2364:I2364),2)</f>
        <v>29.5</v>
      </c>
      <c r="K2364" s="581"/>
    </row>
    <row r="2365" spans="1:11">
      <c r="A2365" s="568"/>
      <c r="B2365" s="593"/>
      <c r="C2365" s="577"/>
      <c r="D2365" s="578">
        <v>1</v>
      </c>
      <c r="E2365" s="579" t="s">
        <v>8</v>
      </c>
      <c r="F2365" s="569">
        <v>4</v>
      </c>
      <c r="G2365" s="612">
        <f>0.9+2.5+2.5</f>
        <v>5.9</v>
      </c>
      <c r="H2365" s="598">
        <v>0.2</v>
      </c>
      <c r="I2365" s="598"/>
      <c r="J2365" s="598">
        <f>ROUNDUP(PRODUCT(D2365:I2365),2)</f>
        <v>4.72</v>
      </c>
      <c r="K2365" s="581"/>
    </row>
    <row r="2366" spans="1:11">
      <c r="A2366" s="568"/>
      <c r="B2366" s="593"/>
      <c r="C2366" s="577"/>
      <c r="D2366" s="578">
        <v>-1</v>
      </c>
      <c r="E2366" s="579" t="s">
        <v>8</v>
      </c>
      <c r="F2366" s="569">
        <v>4</v>
      </c>
      <c r="G2366" s="612">
        <v>0.9</v>
      </c>
      <c r="H2366" s="598"/>
      <c r="I2366" s="598">
        <v>2.15</v>
      </c>
      <c r="J2366" s="598">
        <f t="shared" si="238"/>
        <v>-7.74</v>
      </c>
      <c r="K2366" s="581"/>
    </row>
    <row r="2367" spans="1:11">
      <c r="A2367" s="568"/>
      <c r="B2367" s="593"/>
      <c r="C2367" s="577"/>
      <c r="G2367" s="612"/>
      <c r="H2367" s="598"/>
      <c r="I2367" s="598"/>
      <c r="J2367" s="614">
        <f>SUM(J2364:J2366)</f>
        <v>26.479999999999997</v>
      </c>
      <c r="K2367" s="581"/>
    </row>
    <row r="2368" spans="1:11">
      <c r="A2368" s="568"/>
      <c r="B2368" s="622" t="s">
        <v>28</v>
      </c>
      <c r="C2368" s="577"/>
      <c r="G2368" s="612"/>
      <c r="H2368" s="598"/>
      <c r="I2368" s="598"/>
      <c r="J2368" s="605">
        <f>ROUNDUP(J2367,0)</f>
        <v>27</v>
      </c>
      <c r="K2368" s="576" t="s">
        <v>9</v>
      </c>
    </row>
    <row r="2369" spans="1:11" ht="201.6" customHeight="1">
      <c r="A2369" s="568">
        <f>A2361+1</f>
        <v>45</v>
      </c>
      <c r="B2369" s="723" t="str">
        <f>'BOQ-C&amp;I'!C174</f>
        <v xml:space="preserve">Supply and fixing wall dado with best quality approved make White Glossy ceramic tiles sizes 300 x 300 mm x 6 mm thick set in  CM 1:3 (1 of Cement : 3 of M.sand) 10mm thick and   pointing with white cement and as directed.  Rate shall include for preparation of base surface, and finishing the surface, cleaning the surface, work at  all levels etc. as complete and as directed by the departmental officers (For Over Head Tanks &amp; U.G.Sump)   Rate including all materials, labour charges, wastages, necessary lead and lifts, working at all levels, transportation charges, loading, unloading, preparation of surface, necessary hacking in RCC surface, cutting of tiles to required shape, edging, tools and plants, fuel, curing,  cleaning, acid wash over finished surface, protection with Gypsum / Pop  layer  removing the same before handing over as complete with all respects complying with relevant standard specification and as directed by the departmental officers. Sample should be got approvd. </v>
      </c>
      <c r="C2369" s="723"/>
      <c r="D2369" s="723"/>
      <c r="E2369" s="723"/>
      <c r="F2369" s="723"/>
      <c r="G2369" s="723"/>
      <c r="H2369" s="723"/>
      <c r="I2369" s="723"/>
      <c r="J2369" s="723"/>
      <c r="K2369" s="723"/>
    </row>
    <row r="2370" spans="1:11">
      <c r="A2370" s="568"/>
      <c r="B2370" s="593" t="s">
        <v>792</v>
      </c>
      <c r="C2370" s="577"/>
      <c r="D2370" s="578">
        <v>1</v>
      </c>
      <c r="E2370" s="579" t="s">
        <v>8</v>
      </c>
      <c r="F2370" s="569">
        <v>3</v>
      </c>
      <c r="G2370" s="600">
        <f>(2.3+3)*2</f>
        <v>10.6</v>
      </c>
      <c r="H2370" s="596"/>
      <c r="I2370" s="603">
        <v>1.8</v>
      </c>
      <c r="J2370" s="598">
        <f t="shared" ref="J2370" si="239">ROUNDUP(PRODUCT(D2370:I2370),2)</f>
        <v>57.24</v>
      </c>
      <c r="K2370" s="581"/>
    </row>
    <row r="2371" spans="1:11">
      <c r="A2371" s="568"/>
      <c r="B2371" s="593" t="s">
        <v>509</v>
      </c>
      <c r="C2371" s="606"/>
      <c r="D2371" s="568">
        <v>1</v>
      </c>
      <c r="E2371" s="568" t="s">
        <v>8</v>
      </c>
      <c r="F2371" s="568">
        <v>1</v>
      </c>
      <c r="G2371" s="600">
        <f>(1.8+1)*2</f>
        <v>5.6</v>
      </c>
      <c r="H2371" s="600"/>
      <c r="I2371" s="600">
        <v>2.0499999999999998</v>
      </c>
      <c r="J2371" s="597">
        <f t="shared" ref="J2371:J2372" si="240">PRODUCT(D2371:I2371)</f>
        <v>11.479999999999999</v>
      </c>
      <c r="K2371" s="581"/>
    </row>
    <row r="2372" spans="1:11">
      <c r="A2372" s="568"/>
      <c r="B2372" s="593"/>
      <c r="C2372" s="606"/>
      <c r="D2372" s="568">
        <v>1</v>
      </c>
      <c r="E2372" s="568" t="s">
        <v>8</v>
      </c>
      <c r="F2372" s="568">
        <v>1</v>
      </c>
      <c r="G2372" s="600">
        <f>(2.4+1.8)*2</f>
        <v>8.4</v>
      </c>
      <c r="H2372" s="600"/>
      <c r="I2372" s="600">
        <v>2.0499999999999998</v>
      </c>
      <c r="J2372" s="597">
        <f t="shared" si="240"/>
        <v>17.22</v>
      </c>
      <c r="K2372" s="581"/>
    </row>
    <row r="2373" spans="1:11">
      <c r="A2373" s="568"/>
      <c r="B2373" s="593"/>
      <c r="C2373" s="577"/>
      <c r="G2373" s="612"/>
      <c r="H2373" s="598"/>
      <c r="I2373" s="598"/>
      <c r="J2373" s="614">
        <f>SUM(J2370:J2372)</f>
        <v>85.94</v>
      </c>
      <c r="K2373" s="581"/>
    </row>
    <row r="2374" spans="1:11">
      <c r="A2374" s="568"/>
      <c r="B2374" s="622" t="s">
        <v>28</v>
      </c>
      <c r="C2374" s="577"/>
      <c r="G2374" s="612"/>
      <c r="H2374" s="598"/>
      <c r="I2374" s="598"/>
      <c r="J2374" s="605">
        <f>ROUNDUP(J2373,0)</f>
        <v>86</v>
      </c>
      <c r="K2374" s="576" t="s">
        <v>9</v>
      </c>
    </row>
    <row r="2375" spans="1:11" ht="177.75" customHeight="1">
      <c r="A2375" s="568">
        <f>A2369+1</f>
        <v>46</v>
      </c>
      <c r="B2375" s="723" t="str">
        <f>'BOQ-C&amp;I'!C175</f>
        <v xml:space="preserve">Providing Dadoing with best quality Ceramic tile of approved make and size set in cement mortar 1:3 (1 of Cement : 3 of M.sand), pointing the joints with white cement compound and matching corner tile beading. Rate including all materials, labour charges, wastages, necessary lead and lifts, working at all levels, transportation charges, loading, unloading, chasing of wall for flushing the tile inline with wall surface,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Engineer-in-charge. (Kitchen &amp; wash ) Sample should be got approvd. </v>
      </c>
      <c r="C2375" s="723"/>
      <c r="D2375" s="723"/>
      <c r="E2375" s="723"/>
      <c r="F2375" s="723"/>
      <c r="G2375" s="723"/>
      <c r="H2375" s="723"/>
      <c r="I2375" s="723"/>
      <c r="J2375" s="723"/>
      <c r="K2375" s="723"/>
    </row>
    <row r="2376" spans="1:11">
      <c r="A2376" s="568"/>
      <c r="B2376" s="593" t="s">
        <v>584</v>
      </c>
      <c r="C2376" s="577"/>
      <c r="D2376" s="578">
        <v>1</v>
      </c>
      <c r="E2376" s="579" t="s">
        <v>8</v>
      </c>
      <c r="F2376" s="569">
        <v>1</v>
      </c>
      <c r="G2376" s="659">
        <f>5+3</f>
        <v>8</v>
      </c>
      <c r="H2376" s="598">
        <v>1.5</v>
      </c>
      <c r="I2376" s="598"/>
      <c r="J2376" s="598">
        <f>ROUNDUP(PRODUCT(D2376:I2376),2)</f>
        <v>12</v>
      </c>
      <c r="K2376" s="631"/>
    </row>
    <row r="2377" spans="1:11">
      <c r="A2377" s="568"/>
      <c r="B2377" s="593"/>
      <c r="C2377" s="577"/>
      <c r="G2377" s="612"/>
      <c r="H2377" s="598"/>
      <c r="I2377" s="598"/>
      <c r="J2377" s="614">
        <f>SUM(J2376)</f>
        <v>12</v>
      </c>
      <c r="K2377" s="581"/>
    </row>
    <row r="2378" spans="1:11">
      <c r="A2378" s="568"/>
      <c r="B2378" s="622" t="s">
        <v>28</v>
      </c>
      <c r="C2378" s="577"/>
      <c r="G2378" s="612"/>
      <c r="H2378" s="598"/>
      <c r="I2378" s="598"/>
      <c r="J2378" s="605">
        <f>ROUNDUP(J2377,0)</f>
        <v>12</v>
      </c>
      <c r="K2378" s="576" t="s">
        <v>9</v>
      </c>
    </row>
    <row r="2379" spans="1:11">
      <c r="A2379" s="568"/>
      <c r="B2379" s="584" t="str">
        <f>'BOQ-C&amp;I'!C177</f>
        <v xml:space="preserve">PLASTERING WORKS </v>
      </c>
      <c r="C2379" s="577"/>
      <c r="G2379" s="612"/>
      <c r="H2379" s="598"/>
      <c r="I2379" s="598"/>
      <c r="J2379" s="598"/>
      <c r="K2379" s="581"/>
    </row>
    <row r="2380" spans="1:11" ht="114" customHeight="1">
      <c r="A2380" s="568">
        <f>A2375+1</f>
        <v>47</v>
      </c>
      <c r="B2380" s="712" t="str">
        <f>'BOQ-C&amp;I'!C178</f>
        <v>Plastering of 12 mm thick for Internal walls with cement mortar 1:5 (1 of cement : 5 of P.sand)  according to specifications. Rate shall include for providing GI chicken mesh of nominal thickness at the junctions of masonry and concrete works to a width of 100 to 125mm including tying in position with suitable clamps/screw, necessary hacking in RCC surface, scaffolding, stagging, curing at all levels and elevations etc.as complete with all respects complying with relevant standard specification, as directed by the departmental officers.</v>
      </c>
      <c r="C2380" s="713"/>
      <c r="D2380" s="713"/>
      <c r="E2380" s="713"/>
      <c r="F2380" s="713"/>
      <c r="G2380" s="713"/>
      <c r="H2380" s="713"/>
      <c r="I2380" s="713"/>
      <c r="J2380" s="713"/>
      <c r="K2380" s="714"/>
    </row>
    <row r="2381" spans="1:11">
      <c r="A2381" s="568"/>
      <c r="B2381" s="584" t="s">
        <v>12</v>
      </c>
      <c r="C2381" s="577"/>
      <c r="G2381" s="612"/>
      <c r="H2381" s="598"/>
      <c r="I2381" s="598"/>
      <c r="J2381" s="598"/>
      <c r="K2381" s="581"/>
    </row>
    <row r="2382" spans="1:11">
      <c r="A2382" s="568"/>
      <c r="B2382" s="593" t="s">
        <v>1096</v>
      </c>
      <c r="C2382" s="577"/>
      <c r="D2382" s="578">
        <v>1</v>
      </c>
      <c r="E2382" s="579" t="s">
        <v>8</v>
      </c>
      <c r="F2382" s="569">
        <v>1</v>
      </c>
      <c r="G2382" s="668">
        <v>41.15</v>
      </c>
      <c r="H2382" s="669"/>
      <c r="I2382" s="598">
        <f>4-0.125</f>
        <v>3.875</v>
      </c>
      <c r="J2382" s="598">
        <f t="shared" ref="J2382:J2397" si="241">ROUNDUP(PRODUCT(D2382:I2382),2)</f>
        <v>159.45999999999998</v>
      </c>
      <c r="K2382" s="581"/>
    </row>
    <row r="2383" spans="1:11">
      <c r="A2383" s="568"/>
      <c r="B2383" s="593" t="s">
        <v>545</v>
      </c>
      <c r="C2383" s="577"/>
      <c r="D2383" s="578">
        <v>1</v>
      </c>
      <c r="E2383" s="579" t="s">
        <v>8</v>
      </c>
      <c r="F2383" s="569">
        <v>1</v>
      </c>
      <c r="G2383" s="556">
        <f>(3.8+6.4)*2</f>
        <v>20.399999999999999</v>
      </c>
      <c r="H2383" s="556"/>
      <c r="I2383" s="598">
        <f t="shared" ref="I2383:I2397" si="242">4-0.125</f>
        <v>3.875</v>
      </c>
      <c r="J2383" s="598">
        <f t="shared" si="241"/>
        <v>79.05</v>
      </c>
      <c r="K2383" s="581"/>
    </row>
    <row r="2384" spans="1:11">
      <c r="A2384" s="568"/>
      <c r="B2384" s="593" t="s">
        <v>1098</v>
      </c>
      <c r="C2384" s="577"/>
      <c r="D2384" s="578">
        <v>1</v>
      </c>
      <c r="E2384" s="579" t="s">
        <v>8</v>
      </c>
      <c r="F2384" s="569">
        <v>1</v>
      </c>
      <c r="G2384" s="556">
        <v>20.399999999999999</v>
      </c>
      <c r="H2384" s="556"/>
      <c r="I2384" s="598">
        <f t="shared" si="242"/>
        <v>3.875</v>
      </c>
      <c r="J2384" s="598">
        <f t="shared" si="241"/>
        <v>79.05</v>
      </c>
      <c r="K2384" s="581"/>
    </row>
    <row r="2385" spans="1:11">
      <c r="A2385" s="568"/>
      <c r="B2385" s="593" t="s">
        <v>592</v>
      </c>
      <c r="C2385" s="577"/>
      <c r="D2385" s="578">
        <v>1</v>
      </c>
      <c r="E2385" s="579" t="s">
        <v>8</v>
      </c>
      <c r="F2385" s="569">
        <v>1</v>
      </c>
      <c r="G2385" s="556">
        <v>20.399999999999999</v>
      </c>
      <c r="H2385" s="556"/>
      <c r="I2385" s="598">
        <f t="shared" si="242"/>
        <v>3.875</v>
      </c>
      <c r="J2385" s="598">
        <f t="shared" si="241"/>
        <v>79.05</v>
      </c>
      <c r="K2385" s="581"/>
    </row>
    <row r="2386" spans="1:11">
      <c r="A2386" s="568"/>
      <c r="B2386" s="593" t="s">
        <v>1100</v>
      </c>
      <c r="C2386" s="577"/>
      <c r="D2386" s="578">
        <v>1</v>
      </c>
      <c r="E2386" s="579" t="s">
        <v>8</v>
      </c>
      <c r="F2386" s="569">
        <v>1</v>
      </c>
      <c r="G2386" s="556">
        <v>30.8</v>
      </c>
      <c r="H2386" s="556"/>
      <c r="I2386" s="598">
        <f t="shared" si="242"/>
        <v>3.875</v>
      </c>
      <c r="J2386" s="598">
        <f t="shared" si="241"/>
        <v>119.35</v>
      </c>
      <c r="K2386" s="581"/>
    </row>
    <row r="2387" spans="1:11">
      <c r="A2387" s="568"/>
      <c r="B2387" s="593" t="s">
        <v>584</v>
      </c>
      <c r="C2387" s="577"/>
      <c r="D2387" s="578">
        <v>1</v>
      </c>
      <c r="E2387" s="579" t="s">
        <v>8</v>
      </c>
      <c r="F2387" s="569">
        <v>1</v>
      </c>
      <c r="G2387" s="659">
        <v>20.149999999999999</v>
      </c>
      <c r="H2387" s="598"/>
      <c r="I2387" s="598">
        <f t="shared" si="242"/>
        <v>3.875</v>
      </c>
      <c r="J2387" s="598">
        <f t="shared" si="241"/>
        <v>78.09</v>
      </c>
      <c r="K2387" s="581"/>
    </row>
    <row r="2388" spans="1:11">
      <c r="A2388" s="568"/>
      <c r="B2388" s="593" t="s">
        <v>1105</v>
      </c>
      <c r="C2388" s="577"/>
      <c r="D2388" s="578">
        <v>1</v>
      </c>
      <c r="E2388" s="579" t="s">
        <v>8</v>
      </c>
      <c r="F2388" s="569">
        <v>1</v>
      </c>
      <c r="G2388" s="659">
        <v>37.049999999999997</v>
      </c>
      <c r="H2388" s="598"/>
      <c r="I2388" s="598">
        <f t="shared" si="242"/>
        <v>3.875</v>
      </c>
      <c r="J2388" s="598">
        <f t="shared" si="241"/>
        <v>143.57</v>
      </c>
      <c r="K2388" s="581"/>
    </row>
    <row r="2389" spans="1:11">
      <c r="A2389" s="568"/>
      <c r="B2389" s="593" t="s">
        <v>1101</v>
      </c>
      <c r="C2389" s="577"/>
      <c r="D2389" s="578">
        <v>1</v>
      </c>
      <c r="E2389" s="579" t="s">
        <v>8</v>
      </c>
      <c r="F2389" s="569">
        <v>2</v>
      </c>
      <c r="G2389" s="556">
        <f>(1.3+0.7)*2</f>
        <v>4</v>
      </c>
      <c r="H2389" s="556"/>
      <c r="I2389" s="598">
        <f t="shared" si="242"/>
        <v>3.875</v>
      </c>
      <c r="J2389" s="598">
        <f t="shared" si="241"/>
        <v>31</v>
      </c>
      <c r="K2389" s="581"/>
    </row>
    <row r="2390" spans="1:11">
      <c r="A2390" s="568"/>
      <c r="B2390" s="593" t="s">
        <v>1240</v>
      </c>
      <c r="C2390" s="577"/>
      <c r="D2390" s="578">
        <v>1</v>
      </c>
      <c r="E2390" s="579" t="s">
        <v>8</v>
      </c>
      <c r="F2390" s="569">
        <v>1</v>
      </c>
      <c r="G2390" s="556">
        <f>13.2+9.3+2.1</f>
        <v>24.6</v>
      </c>
      <c r="H2390" s="556"/>
      <c r="I2390" s="598">
        <f t="shared" si="242"/>
        <v>3.875</v>
      </c>
      <c r="J2390" s="598">
        <f t="shared" si="241"/>
        <v>95.33</v>
      </c>
      <c r="K2390" s="581"/>
    </row>
    <row r="2391" spans="1:11">
      <c r="A2391" s="568"/>
      <c r="B2391" s="593" t="s">
        <v>59</v>
      </c>
      <c r="C2391" s="577"/>
      <c r="D2391" s="578">
        <v>1</v>
      </c>
      <c r="E2391" s="579" t="s">
        <v>8</v>
      </c>
      <c r="F2391" s="569">
        <v>1</v>
      </c>
      <c r="G2391" s="556">
        <f>3.7+0.45+0.45+0.45+3.7+1.2+1+1.02+0.45+1+1.2</f>
        <v>14.619999999999997</v>
      </c>
      <c r="H2391" s="556"/>
      <c r="I2391" s="598">
        <f t="shared" si="242"/>
        <v>3.875</v>
      </c>
      <c r="J2391" s="598">
        <f t="shared" si="241"/>
        <v>56.66</v>
      </c>
      <c r="K2391" s="581"/>
    </row>
    <row r="2392" spans="1:11">
      <c r="A2392" s="568"/>
      <c r="B2392" s="593" t="s">
        <v>1241</v>
      </c>
      <c r="C2392" s="577"/>
      <c r="D2392" s="578">
        <v>1</v>
      </c>
      <c r="E2392" s="579" t="s">
        <v>8</v>
      </c>
      <c r="F2392" s="569">
        <v>2</v>
      </c>
      <c r="G2392" s="556">
        <v>14.1</v>
      </c>
      <c r="H2392" s="556"/>
      <c r="I2392" s="598">
        <f t="shared" si="242"/>
        <v>3.875</v>
      </c>
      <c r="J2392" s="598">
        <f t="shared" si="241"/>
        <v>109.28</v>
      </c>
      <c r="K2392" s="581"/>
    </row>
    <row r="2393" spans="1:11">
      <c r="A2393" s="568"/>
      <c r="B2393" s="593" t="s">
        <v>1230</v>
      </c>
      <c r="C2393" s="577"/>
      <c r="D2393" s="578">
        <v>1</v>
      </c>
      <c r="E2393" s="579" t="s">
        <v>8</v>
      </c>
      <c r="F2393" s="569">
        <v>1</v>
      </c>
      <c r="G2393" s="556">
        <f>(3.3+1.9)*2</f>
        <v>10.399999999999999</v>
      </c>
      <c r="H2393" s="556"/>
      <c r="I2393" s="598">
        <f t="shared" si="242"/>
        <v>3.875</v>
      </c>
      <c r="J2393" s="598">
        <f t="shared" si="241"/>
        <v>40.299999999999997</v>
      </c>
      <c r="K2393" s="581"/>
    </row>
    <row r="2394" spans="1:11">
      <c r="A2394" s="568"/>
      <c r="B2394" s="593" t="s">
        <v>1104</v>
      </c>
      <c r="C2394" s="577"/>
      <c r="D2394" s="578">
        <v>1</v>
      </c>
      <c r="E2394" s="579" t="s">
        <v>8</v>
      </c>
      <c r="F2394" s="569">
        <v>1</v>
      </c>
      <c r="G2394" s="670">
        <f>4.2+0.3+0.8+12</f>
        <v>17.3</v>
      </c>
      <c r="H2394" s="556"/>
      <c r="I2394" s="598">
        <f t="shared" si="242"/>
        <v>3.875</v>
      </c>
      <c r="J2394" s="598">
        <f t="shared" si="241"/>
        <v>67.040000000000006</v>
      </c>
      <c r="K2394" s="581"/>
    </row>
    <row r="2395" spans="1:11">
      <c r="A2395" s="568"/>
      <c r="B2395" s="593" t="s">
        <v>1242</v>
      </c>
      <c r="C2395" s="577"/>
      <c r="D2395" s="578">
        <v>1</v>
      </c>
      <c r="E2395" s="579" t="s">
        <v>8</v>
      </c>
      <c r="F2395" s="569">
        <v>2</v>
      </c>
      <c r="G2395" s="670">
        <f>(4.1+3.8)*2</f>
        <v>15.799999999999999</v>
      </c>
      <c r="H2395" s="556"/>
      <c r="I2395" s="598">
        <f t="shared" si="242"/>
        <v>3.875</v>
      </c>
      <c r="J2395" s="598">
        <f t="shared" si="241"/>
        <v>122.45</v>
      </c>
      <c r="K2395" s="581"/>
    </row>
    <row r="2396" spans="1:11">
      <c r="A2396" s="568"/>
      <c r="B2396" s="593" t="s">
        <v>1110</v>
      </c>
      <c r="C2396" s="577"/>
      <c r="D2396" s="578">
        <v>1</v>
      </c>
      <c r="E2396" s="579" t="s">
        <v>8</v>
      </c>
      <c r="F2396" s="569">
        <v>1</v>
      </c>
      <c r="G2396" s="659">
        <f>(4.8+3.8)*2</f>
        <v>17.2</v>
      </c>
      <c r="H2396" s="598"/>
      <c r="I2396" s="598">
        <f t="shared" si="242"/>
        <v>3.875</v>
      </c>
      <c r="J2396" s="598">
        <f t="shared" si="241"/>
        <v>66.650000000000006</v>
      </c>
      <c r="K2396" s="581"/>
    </row>
    <row r="2397" spans="1:11">
      <c r="A2397" s="568"/>
      <c r="B2397" s="593" t="s">
        <v>1104</v>
      </c>
      <c r="C2397" s="577"/>
      <c r="D2397" s="578">
        <v>1</v>
      </c>
      <c r="E2397" s="579" t="s">
        <v>8</v>
      </c>
      <c r="F2397" s="569">
        <v>1</v>
      </c>
      <c r="G2397" s="659">
        <f>24.1+0.2+0.2+0.6+0.2+0.2+1.83</f>
        <v>27.33</v>
      </c>
      <c r="H2397" s="598"/>
      <c r="I2397" s="598">
        <f t="shared" si="242"/>
        <v>3.875</v>
      </c>
      <c r="J2397" s="598">
        <f t="shared" si="241"/>
        <v>105.91000000000001</v>
      </c>
      <c r="K2397" s="581"/>
    </row>
    <row r="2398" spans="1:11">
      <c r="A2398" s="568"/>
      <c r="B2398" s="593" t="s">
        <v>17</v>
      </c>
      <c r="C2398" s="577"/>
      <c r="G2398" s="612"/>
      <c r="H2398" s="598"/>
      <c r="I2398" s="598"/>
      <c r="J2398" s="598"/>
      <c r="K2398" s="581"/>
    </row>
    <row r="2399" spans="1:11">
      <c r="A2399" s="568"/>
      <c r="B2399" s="593" t="s">
        <v>19</v>
      </c>
      <c r="C2399" s="577"/>
      <c r="D2399" s="578">
        <v>-1</v>
      </c>
      <c r="E2399" s="579" t="s">
        <v>8</v>
      </c>
      <c r="F2399" s="569">
        <v>8</v>
      </c>
      <c r="G2399" s="612">
        <v>1.2</v>
      </c>
      <c r="H2399" s="598"/>
      <c r="I2399" s="598">
        <v>2.1</v>
      </c>
      <c r="J2399" s="598">
        <f t="shared" ref="J2399:J2414" si="243">ROUNDUP(PRODUCT(D2399:I2399),2)</f>
        <v>-20.16</v>
      </c>
      <c r="K2399" s="581"/>
    </row>
    <row r="2400" spans="1:11">
      <c r="A2400" s="568"/>
      <c r="B2400" s="593" t="s">
        <v>29</v>
      </c>
      <c r="C2400" s="577"/>
      <c r="D2400" s="578">
        <v>-1</v>
      </c>
      <c r="E2400" s="579" t="s">
        <v>8</v>
      </c>
      <c r="F2400" s="569">
        <v>8</v>
      </c>
      <c r="G2400" s="612">
        <v>1</v>
      </c>
      <c r="H2400" s="598"/>
      <c r="I2400" s="598">
        <v>2.1</v>
      </c>
      <c r="J2400" s="598">
        <f t="shared" si="243"/>
        <v>-16.8</v>
      </c>
      <c r="K2400" s="581"/>
    </row>
    <row r="2401" spans="1:11">
      <c r="A2401" s="568"/>
      <c r="B2401" s="593" t="s">
        <v>585</v>
      </c>
      <c r="C2401" s="577"/>
      <c r="D2401" s="578">
        <v>-1</v>
      </c>
      <c r="E2401" s="579" t="s">
        <v>8</v>
      </c>
      <c r="F2401" s="569">
        <v>6</v>
      </c>
      <c r="G2401" s="612">
        <v>0.9</v>
      </c>
      <c r="H2401" s="598"/>
      <c r="I2401" s="598">
        <v>2.1</v>
      </c>
      <c r="J2401" s="598">
        <f t="shared" si="243"/>
        <v>-11.34</v>
      </c>
      <c r="K2401" s="581"/>
    </row>
    <row r="2402" spans="1:11">
      <c r="A2402" s="568"/>
      <c r="B2402" s="593" t="s">
        <v>902</v>
      </c>
      <c r="C2402" s="577"/>
      <c r="D2402" s="578">
        <v>-1</v>
      </c>
      <c r="E2402" s="579" t="s">
        <v>8</v>
      </c>
      <c r="F2402" s="569">
        <v>6</v>
      </c>
      <c r="G2402" s="612">
        <v>0.75</v>
      </c>
      <c r="H2402" s="598"/>
      <c r="I2402" s="598">
        <v>2.1</v>
      </c>
      <c r="J2402" s="598">
        <f t="shared" si="243"/>
        <v>-9.4499999999999993</v>
      </c>
      <c r="K2402" s="581"/>
    </row>
    <row r="2403" spans="1:11">
      <c r="A2403" s="568"/>
      <c r="B2403" s="593" t="s">
        <v>1190</v>
      </c>
      <c r="C2403" s="577"/>
      <c r="D2403" s="578">
        <v>-1</v>
      </c>
      <c r="E2403" s="579" t="s">
        <v>8</v>
      </c>
      <c r="F2403" s="569">
        <v>2</v>
      </c>
      <c r="G2403" s="612">
        <v>1</v>
      </c>
      <c r="H2403" s="598"/>
      <c r="I2403" s="598">
        <v>2.1</v>
      </c>
      <c r="J2403" s="598">
        <f t="shared" si="243"/>
        <v>-4.2</v>
      </c>
      <c r="K2403" s="581"/>
    </row>
    <row r="2404" spans="1:11">
      <c r="A2404" s="568"/>
      <c r="B2404" s="593" t="s">
        <v>1243</v>
      </c>
      <c r="C2404" s="577"/>
      <c r="D2404" s="578">
        <v>-1</v>
      </c>
      <c r="E2404" s="579" t="s">
        <v>8</v>
      </c>
      <c r="F2404" s="569">
        <v>3</v>
      </c>
      <c r="G2404" s="612">
        <v>1.2</v>
      </c>
      <c r="H2404" s="598"/>
      <c r="I2404" s="598">
        <v>2.1</v>
      </c>
      <c r="J2404" s="598">
        <f t="shared" si="243"/>
        <v>-7.56</v>
      </c>
      <c r="K2404" s="581"/>
    </row>
    <row r="2405" spans="1:11">
      <c r="A2405" s="568"/>
      <c r="B2405" s="593" t="s">
        <v>1244</v>
      </c>
      <c r="C2405" s="577"/>
      <c r="D2405" s="578">
        <v>-1</v>
      </c>
      <c r="E2405" s="579" t="s">
        <v>8</v>
      </c>
      <c r="F2405" s="569">
        <v>1</v>
      </c>
      <c r="G2405" s="612">
        <v>1</v>
      </c>
      <c r="H2405" s="598"/>
      <c r="I2405" s="598">
        <v>2.1</v>
      </c>
      <c r="J2405" s="598">
        <f t="shared" si="243"/>
        <v>-2.1</v>
      </c>
      <c r="K2405" s="581"/>
    </row>
    <row r="2406" spans="1:11">
      <c r="A2406" s="568"/>
      <c r="B2406" s="593" t="s">
        <v>579</v>
      </c>
      <c r="C2406" s="577"/>
      <c r="D2406" s="578">
        <v>-1</v>
      </c>
      <c r="E2406" s="579" t="s">
        <v>8</v>
      </c>
      <c r="F2406" s="569">
        <v>9</v>
      </c>
      <c r="G2406" s="612">
        <v>1.5</v>
      </c>
      <c r="H2406" s="598"/>
      <c r="I2406" s="598">
        <v>1.2</v>
      </c>
      <c r="J2406" s="598">
        <f t="shared" si="243"/>
        <v>-16.2</v>
      </c>
      <c r="K2406" s="581"/>
    </row>
    <row r="2407" spans="1:11">
      <c r="A2407" s="568"/>
      <c r="B2407" s="593" t="s">
        <v>586</v>
      </c>
      <c r="C2407" s="577"/>
      <c r="D2407" s="578">
        <v>-1</v>
      </c>
      <c r="E2407" s="579" t="s">
        <v>8</v>
      </c>
      <c r="F2407" s="569">
        <v>2</v>
      </c>
      <c r="G2407" s="612">
        <v>2.15</v>
      </c>
      <c r="H2407" s="598"/>
      <c r="I2407" s="598">
        <v>1.2</v>
      </c>
      <c r="J2407" s="598">
        <f t="shared" si="243"/>
        <v>-5.16</v>
      </c>
      <c r="K2407" s="581"/>
    </row>
    <row r="2408" spans="1:11">
      <c r="A2408" s="568"/>
      <c r="B2408" s="593" t="s">
        <v>587</v>
      </c>
      <c r="C2408" s="577"/>
      <c r="D2408" s="578">
        <v>-1</v>
      </c>
      <c r="E2408" s="579" t="s">
        <v>8</v>
      </c>
      <c r="F2408" s="569">
        <v>2</v>
      </c>
      <c r="G2408" s="612">
        <v>1.2</v>
      </c>
      <c r="H2408" s="598"/>
      <c r="I2408" s="598">
        <v>1.2</v>
      </c>
      <c r="J2408" s="598">
        <f t="shared" si="243"/>
        <v>-2.88</v>
      </c>
      <c r="K2408" s="581"/>
    </row>
    <row r="2409" spans="1:11">
      <c r="A2409" s="568"/>
      <c r="B2409" s="593" t="s">
        <v>1191</v>
      </c>
      <c r="C2409" s="577"/>
      <c r="D2409" s="578">
        <v>-1</v>
      </c>
      <c r="E2409" s="579" t="s">
        <v>8</v>
      </c>
      <c r="F2409" s="569">
        <v>1</v>
      </c>
      <c r="G2409" s="612">
        <v>2.15</v>
      </c>
      <c r="H2409" s="598"/>
      <c r="I2409" s="598">
        <v>0.9</v>
      </c>
      <c r="J2409" s="598">
        <f t="shared" si="243"/>
        <v>-1.94</v>
      </c>
      <c r="K2409" s="581"/>
    </row>
    <row r="2410" spans="1:11">
      <c r="A2410" s="568"/>
      <c r="B2410" s="593" t="s">
        <v>1192</v>
      </c>
      <c r="C2410" s="577"/>
      <c r="D2410" s="578">
        <v>-1</v>
      </c>
      <c r="E2410" s="579" t="s">
        <v>8</v>
      </c>
      <c r="F2410" s="569">
        <v>1</v>
      </c>
      <c r="G2410" s="612">
        <v>1.2</v>
      </c>
      <c r="H2410" s="598"/>
      <c r="I2410" s="598">
        <v>0.9</v>
      </c>
      <c r="J2410" s="598">
        <f t="shared" si="243"/>
        <v>-1.08</v>
      </c>
      <c r="K2410" s="581"/>
    </row>
    <row r="2411" spans="1:11">
      <c r="A2411" s="568"/>
      <c r="B2411" s="593" t="s">
        <v>1217</v>
      </c>
      <c r="C2411" s="577"/>
      <c r="D2411" s="578">
        <v>-1</v>
      </c>
      <c r="E2411" s="579" t="s">
        <v>8</v>
      </c>
      <c r="F2411" s="569">
        <v>1</v>
      </c>
      <c r="G2411" s="612">
        <v>1.5</v>
      </c>
      <c r="H2411" s="598"/>
      <c r="I2411" s="598">
        <v>0.75</v>
      </c>
      <c r="J2411" s="598">
        <f t="shared" si="243"/>
        <v>-1.1300000000000001</v>
      </c>
      <c r="K2411" s="581"/>
    </row>
    <row r="2412" spans="1:11">
      <c r="A2412" s="568"/>
      <c r="B2412" s="593" t="s">
        <v>1245</v>
      </c>
      <c r="C2412" s="577"/>
      <c r="D2412" s="578">
        <v>-1</v>
      </c>
      <c r="E2412" s="579" t="s">
        <v>8</v>
      </c>
      <c r="F2412" s="569">
        <v>2</v>
      </c>
      <c r="G2412" s="612">
        <v>1.5</v>
      </c>
      <c r="H2412" s="598"/>
      <c r="I2412" s="598">
        <v>0.75</v>
      </c>
      <c r="J2412" s="598">
        <f t="shared" si="243"/>
        <v>-2.25</v>
      </c>
      <c r="K2412" s="581"/>
    </row>
    <row r="2413" spans="1:11">
      <c r="A2413" s="568"/>
      <c r="B2413" s="593" t="s">
        <v>1246</v>
      </c>
      <c r="C2413" s="577"/>
      <c r="D2413" s="578">
        <v>1</v>
      </c>
      <c r="E2413" s="579" t="s">
        <v>8</v>
      </c>
      <c r="F2413" s="569">
        <v>1</v>
      </c>
      <c r="G2413" s="612">
        <v>3</v>
      </c>
      <c r="H2413" s="598"/>
      <c r="I2413" s="598">
        <v>3</v>
      </c>
      <c r="J2413" s="598">
        <f t="shared" si="243"/>
        <v>9</v>
      </c>
      <c r="K2413" s="581"/>
    </row>
    <row r="2414" spans="1:11">
      <c r="A2414" s="568"/>
      <c r="B2414" s="593" t="s">
        <v>580</v>
      </c>
      <c r="C2414" s="577"/>
      <c r="D2414" s="578">
        <v>-1</v>
      </c>
      <c r="E2414" s="579" t="s">
        <v>8</v>
      </c>
      <c r="F2414" s="569">
        <v>2</v>
      </c>
      <c r="G2414" s="612">
        <v>0.6</v>
      </c>
      <c r="H2414" s="598"/>
      <c r="I2414" s="598">
        <v>0.75</v>
      </c>
      <c r="J2414" s="598">
        <f t="shared" si="243"/>
        <v>-0.9</v>
      </c>
      <c r="K2414" s="581"/>
    </row>
    <row r="2415" spans="1:11">
      <c r="A2415" s="568"/>
      <c r="B2415" s="584" t="s">
        <v>1234</v>
      </c>
      <c r="C2415" s="577"/>
      <c r="G2415" s="612"/>
      <c r="H2415" s="598"/>
      <c r="I2415" s="598"/>
      <c r="J2415" s="598"/>
      <c r="K2415" s="581"/>
    </row>
    <row r="2416" spans="1:11">
      <c r="A2416" s="568"/>
      <c r="B2416" s="593" t="s">
        <v>1230</v>
      </c>
      <c r="C2416" s="577"/>
      <c r="D2416" s="578">
        <v>3</v>
      </c>
      <c r="E2416" s="579" t="s">
        <v>8</v>
      </c>
      <c r="F2416" s="569">
        <v>1</v>
      </c>
      <c r="G2416" s="598">
        <f>(3.5+3.3)*2</f>
        <v>13.6</v>
      </c>
      <c r="H2416" s="598"/>
      <c r="I2416" s="598">
        <f>3.4-0.125</f>
        <v>3.2749999999999999</v>
      </c>
      <c r="J2416" s="598">
        <f t="shared" ref="J2416:J2426" si="244">ROUNDUP(PRODUCT(D2416:I2416),2)</f>
        <v>133.62</v>
      </c>
      <c r="K2416" s="581"/>
    </row>
    <row r="2417" spans="1:11">
      <c r="A2417" s="568"/>
      <c r="B2417" s="629" t="s">
        <v>24</v>
      </c>
      <c r="C2417" s="577"/>
      <c r="D2417" s="578">
        <v>3</v>
      </c>
      <c r="E2417" s="579" t="s">
        <v>8</v>
      </c>
      <c r="F2417" s="569">
        <v>1</v>
      </c>
      <c r="G2417" s="598">
        <f>(3.8+2.2)*2</f>
        <v>12</v>
      </c>
      <c r="H2417" s="598"/>
      <c r="I2417" s="598">
        <f t="shared" ref="I2417:I2426" si="245">3.4-0.125</f>
        <v>3.2749999999999999</v>
      </c>
      <c r="J2417" s="598">
        <f t="shared" si="244"/>
        <v>117.9</v>
      </c>
      <c r="K2417" s="581"/>
    </row>
    <row r="2418" spans="1:11">
      <c r="A2418" s="568"/>
      <c r="B2418" s="593" t="s">
        <v>1247</v>
      </c>
      <c r="C2418" s="577"/>
      <c r="D2418" s="578">
        <v>3</v>
      </c>
      <c r="E2418" s="579" t="s">
        <v>8</v>
      </c>
      <c r="F2418" s="569">
        <v>1</v>
      </c>
      <c r="G2418" s="598">
        <f>2.8+2.5</f>
        <v>5.3</v>
      </c>
      <c r="H2418" s="598"/>
      <c r="I2418" s="598">
        <f t="shared" si="245"/>
        <v>3.2749999999999999</v>
      </c>
      <c r="J2418" s="598">
        <f t="shared" si="244"/>
        <v>52.08</v>
      </c>
      <c r="K2418" s="581"/>
    </row>
    <row r="2419" spans="1:11">
      <c r="A2419" s="568"/>
      <c r="B2419" s="593" t="s">
        <v>1248</v>
      </c>
      <c r="C2419" s="577"/>
      <c r="D2419" s="578">
        <v>3</v>
      </c>
      <c r="E2419" s="579" t="s">
        <v>8</v>
      </c>
      <c r="F2419" s="569">
        <v>5</v>
      </c>
      <c r="G2419" s="598">
        <v>18.899999999999999</v>
      </c>
      <c r="H2419" s="598"/>
      <c r="I2419" s="598">
        <f t="shared" si="245"/>
        <v>3.2749999999999999</v>
      </c>
      <c r="J2419" s="598">
        <f t="shared" si="244"/>
        <v>928.47</v>
      </c>
      <c r="K2419" s="581"/>
    </row>
    <row r="2420" spans="1:11">
      <c r="A2420" s="568"/>
      <c r="B2420" s="593" t="s">
        <v>1249</v>
      </c>
      <c r="C2420" s="577"/>
      <c r="D2420" s="578">
        <v>3</v>
      </c>
      <c r="E2420" s="579" t="s">
        <v>8</v>
      </c>
      <c r="F2420" s="569">
        <v>1</v>
      </c>
      <c r="G2420" s="598">
        <f>0.9+0.9+1.3</f>
        <v>3.1</v>
      </c>
      <c r="H2420" s="598"/>
      <c r="I2420" s="598">
        <f t="shared" si="245"/>
        <v>3.2749999999999999</v>
      </c>
      <c r="J2420" s="598">
        <f t="shared" si="244"/>
        <v>30.46</v>
      </c>
      <c r="K2420" s="581"/>
    </row>
    <row r="2421" spans="1:11">
      <c r="A2421" s="568"/>
      <c r="B2421" s="593" t="s">
        <v>1250</v>
      </c>
      <c r="C2421" s="577"/>
      <c r="D2421" s="578">
        <v>3</v>
      </c>
      <c r="E2421" s="579" t="s">
        <v>8</v>
      </c>
      <c r="F2421" s="569">
        <v>2</v>
      </c>
      <c r="G2421" s="598">
        <f>0.9+0.9+2.8</f>
        <v>4.5999999999999996</v>
      </c>
      <c r="H2421" s="598"/>
      <c r="I2421" s="598">
        <f t="shared" si="245"/>
        <v>3.2749999999999999</v>
      </c>
      <c r="J2421" s="598">
        <f t="shared" si="244"/>
        <v>90.39</v>
      </c>
      <c r="K2421" s="581"/>
    </row>
    <row r="2422" spans="1:11">
      <c r="A2422" s="568"/>
      <c r="B2422" s="593" t="s">
        <v>1104</v>
      </c>
      <c r="C2422" s="577"/>
      <c r="D2422" s="578">
        <v>3</v>
      </c>
      <c r="E2422" s="579" t="s">
        <v>8</v>
      </c>
      <c r="F2422" s="569">
        <v>1</v>
      </c>
      <c r="G2422" s="598">
        <f>4.3+9.3+3.8+3.8+1.8</f>
        <v>23.000000000000004</v>
      </c>
      <c r="H2422" s="598"/>
      <c r="I2422" s="598">
        <f t="shared" si="245"/>
        <v>3.2749999999999999</v>
      </c>
      <c r="J2422" s="598">
        <f t="shared" si="244"/>
        <v>225.98</v>
      </c>
      <c r="K2422" s="581"/>
    </row>
    <row r="2423" spans="1:11">
      <c r="A2423" s="568"/>
      <c r="B2423" s="593" t="s">
        <v>1251</v>
      </c>
      <c r="C2423" s="577"/>
      <c r="D2423" s="578">
        <v>3</v>
      </c>
      <c r="E2423" s="579" t="s">
        <v>8</v>
      </c>
      <c r="F2423" s="569">
        <v>5</v>
      </c>
      <c r="G2423" s="598">
        <f>(3.8+6.4)*2</f>
        <v>20.399999999999999</v>
      </c>
      <c r="H2423" s="598"/>
      <c r="I2423" s="598">
        <f t="shared" si="245"/>
        <v>3.2749999999999999</v>
      </c>
      <c r="J2423" s="598">
        <f t="shared" si="244"/>
        <v>1002.15</v>
      </c>
      <c r="K2423" s="581"/>
    </row>
    <row r="2424" spans="1:11">
      <c r="A2424" s="568"/>
      <c r="B2424" s="593" t="s">
        <v>1252</v>
      </c>
      <c r="C2424" s="577"/>
      <c r="D2424" s="578">
        <v>3</v>
      </c>
      <c r="E2424" s="579" t="s">
        <v>8</v>
      </c>
      <c r="F2424" s="569">
        <v>3</v>
      </c>
      <c r="G2424" s="670">
        <f>(6.4+3.8)*2</f>
        <v>20.399999999999999</v>
      </c>
      <c r="H2424" s="598"/>
      <c r="I2424" s="598">
        <f t="shared" si="245"/>
        <v>3.2749999999999999</v>
      </c>
      <c r="J2424" s="598">
        <f t="shared" si="244"/>
        <v>601.29</v>
      </c>
      <c r="K2424" s="581"/>
    </row>
    <row r="2425" spans="1:11">
      <c r="A2425" s="568"/>
      <c r="B2425" s="593" t="s">
        <v>1104</v>
      </c>
      <c r="C2425" s="577"/>
      <c r="D2425" s="578">
        <v>3</v>
      </c>
      <c r="E2425" s="579" t="s">
        <v>8</v>
      </c>
      <c r="F2425" s="569">
        <v>1</v>
      </c>
      <c r="G2425" s="598">
        <f>20+2.03+0.2+0.2+0.2+0.6</f>
        <v>23.23</v>
      </c>
      <c r="H2425" s="598"/>
      <c r="I2425" s="598">
        <f t="shared" si="245"/>
        <v>3.2749999999999999</v>
      </c>
      <c r="J2425" s="598">
        <f t="shared" si="244"/>
        <v>228.23999999999998</v>
      </c>
      <c r="K2425" s="581"/>
    </row>
    <row r="2426" spans="1:11">
      <c r="A2426" s="568"/>
      <c r="B2426" s="593" t="s">
        <v>1104</v>
      </c>
      <c r="C2426" s="577"/>
      <c r="D2426" s="578">
        <v>3</v>
      </c>
      <c r="E2426" s="579" t="s">
        <v>8</v>
      </c>
      <c r="F2426" s="569">
        <v>1</v>
      </c>
      <c r="G2426" s="598">
        <f>12+0.6+0.7+0.7+0.3+0.25</f>
        <v>14.549999999999999</v>
      </c>
      <c r="H2426" s="598"/>
      <c r="I2426" s="598">
        <f t="shared" si="245"/>
        <v>3.2749999999999999</v>
      </c>
      <c r="J2426" s="598">
        <f t="shared" si="244"/>
        <v>142.95999999999998</v>
      </c>
      <c r="K2426" s="581"/>
    </row>
    <row r="2427" spans="1:11">
      <c r="A2427" s="568"/>
      <c r="B2427" s="593" t="s">
        <v>17</v>
      </c>
      <c r="C2427" s="577"/>
      <c r="G2427" s="612"/>
      <c r="H2427" s="598"/>
      <c r="I2427" s="598"/>
      <c r="J2427" s="598"/>
      <c r="K2427" s="581"/>
    </row>
    <row r="2428" spans="1:11">
      <c r="A2428" s="568"/>
      <c r="B2428" s="593" t="s">
        <v>585</v>
      </c>
      <c r="C2428" s="577"/>
      <c r="D2428" s="578">
        <v>-3</v>
      </c>
      <c r="E2428" s="579" t="s">
        <v>8</v>
      </c>
      <c r="F2428" s="569">
        <v>24</v>
      </c>
      <c r="G2428" s="612">
        <v>0.9</v>
      </c>
      <c r="H2428" s="598"/>
      <c r="I2428" s="598">
        <v>2.1</v>
      </c>
      <c r="J2428" s="598">
        <f>ROUNDUP(PRODUCT(D2428:I2428),2)</f>
        <v>-136.08000000000001</v>
      </c>
      <c r="K2428" s="581"/>
    </row>
    <row r="2429" spans="1:11">
      <c r="A2429" s="568"/>
      <c r="B2429" s="593" t="s">
        <v>902</v>
      </c>
      <c r="C2429" s="577"/>
      <c r="D2429" s="578">
        <v>-3</v>
      </c>
      <c r="E2429" s="579" t="s">
        <v>8</v>
      </c>
      <c r="F2429" s="569">
        <v>15</v>
      </c>
      <c r="G2429" s="612">
        <v>0.75</v>
      </c>
      <c r="H2429" s="598"/>
      <c r="I2429" s="598">
        <v>2.1</v>
      </c>
      <c r="J2429" s="598">
        <f t="shared" ref="J2429:J2435" si="246">ROUNDUP(PRODUCT(D2429:I2429),2)</f>
        <v>-70.88000000000001</v>
      </c>
      <c r="K2429" s="581"/>
    </row>
    <row r="2430" spans="1:11">
      <c r="A2430" s="568"/>
      <c r="B2430" s="593" t="s">
        <v>1216</v>
      </c>
      <c r="C2430" s="589"/>
      <c r="D2430" s="578">
        <v>-3</v>
      </c>
      <c r="E2430" s="579" t="s">
        <v>8</v>
      </c>
      <c r="F2430" s="569">
        <v>1</v>
      </c>
      <c r="G2430" s="612">
        <v>1</v>
      </c>
      <c r="H2430" s="598"/>
      <c r="I2430" s="598">
        <v>2.1</v>
      </c>
      <c r="J2430" s="598">
        <f t="shared" si="246"/>
        <v>-6.3</v>
      </c>
      <c r="K2430" s="581"/>
    </row>
    <row r="2431" spans="1:11">
      <c r="A2431" s="568"/>
      <c r="B2431" s="593" t="s">
        <v>1253</v>
      </c>
      <c r="C2431" s="577"/>
      <c r="D2431" s="578">
        <v>-3</v>
      </c>
      <c r="E2431" s="579" t="s">
        <v>8</v>
      </c>
      <c r="F2431" s="569">
        <v>2</v>
      </c>
      <c r="G2431" s="612">
        <v>1.2</v>
      </c>
      <c r="H2431" s="598"/>
      <c r="I2431" s="598">
        <v>2.1</v>
      </c>
      <c r="J2431" s="598">
        <f t="shared" si="246"/>
        <v>-15.12</v>
      </c>
      <c r="K2431" s="581"/>
    </row>
    <row r="2432" spans="1:11">
      <c r="A2432" s="568"/>
      <c r="B2432" s="593" t="s">
        <v>579</v>
      </c>
      <c r="C2432" s="577"/>
      <c r="D2432" s="578">
        <v>-3</v>
      </c>
      <c r="E2432" s="579" t="s">
        <v>8</v>
      </c>
      <c r="F2432" s="569">
        <v>7</v>
      </c>
      <c r="G2432" s="612">
        <v>1.5</v>
      </c>
      <c r="H2432" s="598"/>
      <c r="I2432" s="598">
        <v>1.2</v>
      </c>
      <c r="J2432" s="598">
        <f t="shared" si="246"/>
        <v>-37.799999999999997</v>
      </c>
      <c r="K2432" s="581"/>
    </row>
    <row r="2433" spans="1:11">
      <c r="A2433" s="568"/>
      <c r="B2433" s="593" t="s">
        <v>586</v>
      </c>
      <c r="C2433" s="577"/>
      <c r="D2433" s="578">
        <v>-3</v>
      </c>
      <c r="E2433" s="579" t="s">
        <v>8</v>
      </c>
      <c r="F2433" s="569">
        <v>8</v>
      </c>
      <c r="G2433" s="612">
        <v>2.15</v>
      </c>
      <c r="H2433" s="598"/>
      <c r="I2433" s="598">
        <v>1.2</v>
      </c>
      <c r="J2433" s="598">
        <f t="shared" si="246"/>
        <v>-61.92</v>
      </c>
      <c r="K2433" s="581"/>
    </row>
    <row r="2434" spans="1:11">
      <c r="A2434" s="568"/>
      <c r="B2434" s="593" t="s">
        <v>587</v>
      </c>
      <c r="C2434" s="577"/>
      <c r="D2434" s="578">
        <v>-3</v>
      </c>
      <c r="E2434" s="579" t="s">
        <v>8</v>
      </c>
      <c r="F2434" s="569">
        <v>1</v>
      </c>
      <c r="G2434" s="612">
        <v>1.2</v>
      </c>
      <c r="H2434" s="598"/>
      <c r="I2434" s="598">
        <v>1.2</v>
      </c>
      <c r="J2434" s="598">
        <f t="shared" si="246"/>
        <v>-4.32</v>
      </c>
      <c r="K2434" s="581"/>
    </row>
    <row r="2435" spans="1:11">
      <c r="A2435" s="568"/>
      <c r="B2435" s="593" t="s">
        <v>580</v>
      </c>
      <c r="C2435" s="577"/>
      <c r="D2435" s="578">
        <v>-3</v>
      </c>
      <c r="E2435" s="579" t="s">
        <v>8</v>
      </c>
      <c r="F2435" s="569">
        <v>18</v>
      </c>
      <c r="G2435" s="612">
        <v>0.6</v>
      </c>
      <c r="H2435" s="598"/>
      <c r="I2435" s="598">
        <v>0.75</v>
      </c>
      <c r="J2435" s="598">
        <f t="shared" si="246"/>
        <v>-24.3</v>
      </c>
      <c r="K2435" s="581"/>
    </row>
    <row r="2436" spans="1:11">
      <c r="A2436" s="568"/>
      <c r="B2436" s="584" t="s">
        <v>25</v>
      </c>
      <c r="C2436" s="577"/>
      <c r="G2436" s="612"/>
      <c r="H2436" s="598"/>
      <c r="I2436" s="598"/>
      <c r="J2436" s="598"/>
      <c r="K2436" s="581"/>
    </row>
    <row r="2437" spans="1:11">
      <c r="A2437" s="568"/>
      <c r="B2437" s="593" t="s">
        <v>640</v>
      </c>
      <c r="C2437" s="577"/>
      <c r="D2437" s="578">
        <v>1</v>
      </c>
      <c r="E2437" s="579" t="s">
        <v>8</v>
      </c>
      <c r="F2437" s="569">
        <v>1</v>
      </c>
      <c r="G2437" s="598">
        <f>2.1+2.1+1.9+1.9+1.5+0.9</f>
        <v>10.4</v>
      </c>
      <c r="H2437" s="598"/>
      <c r="I2437" s="598">
        <v>4.6500000000000004</v>
      </c>
      <c r="J2437" s="598">
        <f>ROUNDUP(PRODUCT(D2437:I2437),2)</f>
        <v>48.36</v>
      </c>
      <c r="K2437" s="581"/>
    </row>
    <row r="2438" spans="1:11">
      <c r="A2438" s="568"/>
      <c r="B2438" s="593" t="s">
        <v>597</v>
      </c>
      <c r="C2438" s="577"/>
      <c r="D2438" s="578">
        <v>1</v>
      </c>
      <c r="E2438" s="579" t="s">
        <v>8</v>
      </c>
      <c r="F2438" s="569">
        <v>1</v>
      </c>
      <c r="G2438" s="612">
        <f>3.7+6.9+3.8+1.8</f>
        <v>16.200000000000003</v>
      </c>
      <c r="H2438" s="598"/>
      <c r="I2438" s="598">
        <v>2.85</v>
      </c>
      <c r="J2438" s="598">
        <f t="shared" ref="J2438:J2439" si="247">ROUNDUP(PRODUCT(D2438:I2438),2)</f>
        <v>46.17</v>
      </c>
      <c r="K2438" s="581"/>
    </row>
    <row r="2439" spans="1:11">
      <c r="A2439" s="568"/>
      <c r="B2439" s="593" t="s">
        <v>598</v>
      </c>
      <c r="C2439" s="577"/>
      <c r="D2439" s="578">
        <v>1</v>
      </c>
      <c r="E2439" s="579" t="s">
        <v>8</v>
      </c>
      <c r="F2439" s="569">
        <v>1</v>
      </c>
      <c r="G2439" s="612">
        <f>3.7+6.9+3.8+1.8</f>
        <v>16.200000000000003</v>
      </c>
      <c r="H2439" s="598"/>
      <c r="I2439" s="598">
        <v>2.85</v>
      </c>
      <c r="J2439" s="598">
        <f t="shared" si="247"/>
        <v>46.17</v>
      </c>
      <c r="K2439" s="581"/>
    </row>
    <row r="2440" spans="1:11">
      <c r="A2440" s="568"/>
      <c r="B2440" s="593" t="s">
        <v>17</v>
      </c>
      <c r="C2440" s="577"/>
      <c r="G2440" s="612"/>
      <c r="H2440" s="598"/>
      <c r="I2440" s="598"/>
      <c r="J2440" s="598"/>
      <c r="K2440" s="581"/>
    </row>
    <row r="2441" spans="1:11">
      <c r="A2441" s="568"/>
      <c r="B2441" s="593" t="s">
        <v>29</v>
      </c>
      <c r="C2441" s="577"/>
      <c r="D2441" s="578">
        <v>-1</v>
      </c>
      <c r="E2441" s="579" t="s">
        <v>8</v>
      </c>
      <c r="F2441" s="569">
        <v>4</v>
      </c>
      <c r="G2441" s="612">
        <v>0.9</v>
      </c>
      <c r="H2441" s="598"/>
      <c r="I2441" s="598">
        <v>2.15</v>
      </c>
      <c r="J2441" s="598">
        <f t="shared" ref="J2441:J2442" si="248">ROUNDUP(PRODUCT(D2441:I2441),2)</f>
        <v>-7.74</v>
      </c>
      <c r="K2441" s="581"/>
    </row>
    <row r="2442" spans="1:11">
      <c r="A2442" s="568"/>
      <c r="B2442" s="593" t="s">
        <v>587</v>
      </c>
      <c r="C2442" s="577"/>
      <c r="D2442" s="578">
        <v>-1</v>
      </c>
      <c r="E2442" s="579" t="s">
        <v>8</v>
      </c>
      <c r="F2442" s="569">
        <v>2</v>
      </c>
      <c r="G2442" s="612">
        <v>1.5</v>
      </c>
      <c r="H2442" s="598"/>
      <c r="I2442" s="598">
        <v>1.25</v>
      </c>
      <c r="J2442" s="598">
        <f t="shared" si="248"/>
        <v>-3.75</v>
      </c>
      <c r="K2442" s="581"/>
    </row>
    <row r="2443" spans="1:11">
      <c r="A2443" s="568"/>
      <c r="B2443" s="584" t="s">
        <v>56</v>
      </c>
      <c r="C2443" s="577"/>
      <c r="G2443" s="612"/>
      <c r="H2443" s="598"/>
      <c r="I2443" s="598"/>
      <c r="J2443" s="598"/>
      <c r="K2443" s="581"/>
    </row>
    <row r="2444" spans="1:11">
      <c r="A2444" s="568"/>
      <c r="B2444" s="593" t="s">
        <v>644</v>
      </c>
      <c r="C2444" s="577"/>
      <c r="D2444" s="578">
        <v>1</v>
      </c>
      <c r="E2444" s="579" t="s">
        <v>8</v>
      </c>
      <c r="F2444" s="569">
        <v>1</v>
      </c>
      <c r="G2444" s="612">
        <f>2.1+2.1+1.9+1.9</f>
        <v>8</v>
      </c>
      <c r="H2444" s="598"/>
      <c r="I2444" s="598">
        <f>14.2+1.5</f>
        <v>15.7</v>
      </c>
      <c r="J2444" s="598">
        <f t="shared" ref="J2444" si="249">ROUNDUP(PRODUCT(D2444:I2444),2)</f>
        <v>125.6</v>
      </c>
      <c r="K2444" s="581"/>
    </row>
    <row r="2445" spans="1:11">
      <c r="A2445" s="568"/>
      <c r="B2445" s="593" t="s">
        <v>1334</v>
      </c>
      <c r="C2445" s="599"/>
      <c r="D2445" s="578">
        <v>2</v>
      </c>
      <c r="E2445" s="579" t="s">
        <v>8</v>
      </c>
      <c r="F2445" s="569">
        <v>1</v>
      </c>
      <c r="G2445" s="618">
        <f>0.2+2.5+0.2+2+0.2+1.13+1.94+0.63</f>
        <v>8.8000000000000007</v>
      </c>
      <c r="H2445" s="618"/>
      <c r="I2445" s="618">
        <f>2.85-0.125</f>
        <v>2.7250000000000001</v>
      </c>
      <c r="J2445" s="597">
        <f t="shared" ref="J2445:J2446" si="250">PRODUCT(D2445:I2445)</f>
        <v>47.960000000000008</v>
      </c>
      <c r="K2445" s="592"/>
    </row>
    <row r="2446" spans="1:11">
      <c r="A2446" s="568"/>
      <c r="B2446" s="593" t="s">
        <v>13</v>
      </c>
      <c r="C2446" s="599"/>
      <c r="D2446" s="578">
        <v>0</v>
      </c>
      <c r="E2446" s="579" t="s">
        <v>8</v>
      </c>
      <c r="F2446" s="569">
        <v>1</v>
      </c>
      <c r="G2446" s="618">
        <f>0.2+2+0.2+1.2+0.2+0.2+1.2</f>
        <v>5.2000000000000011</v>
      </c>
      <c r="H2446" s="618"/>
      <c r="I2446" s="618">
        <f>2.85-0.125</f>
        <v>2.7250000000000001</v>
      </c>
      <c r="J2446" s="597">
        <f t="shared" si="250"/>
        <v>0</v>
      </c>
      <c r="K2446" s="592"/>
    </row>
    <row r="2447" spans="1:11">
      <c r="A2447" s="568"/>
      <c r="B2447" s="593" t="s">
        <v>17</v>
      </c>
      <c r="C2447" s="599"/>
      <c r="G2447" s="618"/>
      <c r="H2447" s="618"/>
      <c r="I2447" s="618"/>
      <c r="J2447" s="605"/>
      <c r="K2447" s="592"/>
    </row>
    <row r="2448" spans="1:11">
      <c r="A2448" s="568"/>
      <c r="B2448" s="593" t="s">
        <v>587</v>
      </c>
      <c r="C2448" s="599"/>
      <c r="D2448" s="578">
        <f>-2</f>
        <v>-2</v>
      </c>
      <c r="E2448" s="579" t="s">
        <v>8</v>
      </c>
      <c r="F2448" s="569">
        <v>1</v>
      </c>
      <c r="G2448" s="618">
        <v>1.2</v>
      </c>
      <c r="H2448" s="618"/>
      <c r="I2448" s="618">
        <v>1.2</v>
      </c>
      <c r="J2448" s="597">
        <f t="shared" ref="J2448:J2450" si="251">PRODUCT(D2448:I2448)</f>
        <v>-2.88</v>
      </c>
      <c r="K2448" s="592"/>
    </row>
    <row r="2449" spans="1:11">
      <c r="A2449" s="568"/>
      <c r="B2449" s="656" t="s">
        <v>903</v>
      </c>
      <c r="C2449" s="599"/>
      <c r="D2449" s="578">
        <f t="shared" ref="D2449" si="252">-2</f>
        <v>-2</v>
      </c>
      <c r="E2449" s="579" t="s">
        <v>8</v>
      </c>
      <c r="F2449" s="569">
        <v>1</v>
      </c>
      <c r="G2449" s="618">
        <v>0.75</v>
      </c>
      <c r="H2449" s="618"/>
      <c r="I2449" s="618">
        <v>2.1</v>
      </c>
      <c r="J2449" s="597">
        <f t="shared" si="251"/>
        <v>-3.1500000000000004</v>
      </c>
      <c r="K2449" s="592"/>
    </row>
    <row r="2450" spans="1:11">
      <c r="A2450" s="568"/>
      <c r="B2450" s="593" t="s">
        <v>580</v>
      </c>
      <c r="C2450" s="599"/>
      <c r="D2450" s="578">
        <f>0</f>
        <v>0</v>
      </c>
      <c r="E2450" s="579" t="s">
        <v>8</v>
      </c>
      <c r="F2450" s="569">
        <v>1</v>
      </c>
      <c r="G2450" s="618">
        <v>0.6</v>
      </c>
      <c r="H2450" s="618"/>
      <c r="I2450" s="618">
        <v>0.75</v>
      </c>
      <c r="J2450" s="597">
        <f t="shared" si="251"/>
        <v>0</v>
      </c>
      <c r="K2450" s="592"/>
    </row>
    <row r="2451" spans="1:11">
      <c r="A2451" s="568"/>
      <c r="B2451" s="593" t="s">
        <v>1384</v>
      </c>
      <c r="C2451" s="606"/>
      <c r="G2451" s="647"/>
      <c r="H2451" s="648"/>
      <c r="I2451" s="648"/>
      <c r="J2451" s="605"/>
      <c r="K2451" s="592"/>
    </row>
    <row r="2452" spans="1:11">
      <c r="A2452" s="568"/>
      <c r="B2452" s="593" t="s">
        <v>1383</v>
      </c>
      <c r="C2452" s="606"/>
      <c r="D2452" s="578">
        <v>1</v>
      </c>
      <c r="E2452" s="579" t="s">
        <v>8</v>
      </c>
      <c r="F2452" s="569">
        <v>2</v>
      </c>
      <c r="G2452" s="618">
        <v>2.54</v>
      </c>
      <c r="H2452" s="618">
        <v>6.7</v>
      </c>
      <c r="I2452" s="618"/>
      <c r="J2452" s="597">
        <f t="shared" ref="J2452" si="253">PRODUCT(D2452:I2452)</f>
        <v>34.036000000000001</v>
      </c>
      <c r="K2452" s="592"/>
    </row>
    <row r="2453" spans="1:11">
      <c r="A2453" s="568"/>
      <c r="B2453" s="593" t="s">
        <v>1337</v>
      </c>
      <c r="C2453" s="606"/>
      <c r="D2453" s="578">
        <v>1</v>
      </c>
      <c r="E2453" s="579" t="s">
        <v>8</v>
      </c>
      <c r="F2453" s="569">
        <v>3</v>
      </c>
      <c r="G2453" s="618">
        <f>(2+2.54)*2</f>
        <v>9.08</v>
      </c>
      <c r="H2453" s="618"/>
      <c r="I2453" s="618">
        <f>3.3+1.1</f>
        <v>4.4000000000000004</v>
      </c>
      <c r="J2453" s="597">
        <f>PRODUCT(D2453:I2453)</f>
        <v>119.85600000000002</v>
      </c>
      <c r="K2453" s="592"/>
    </row>
    <row r="2454" spans="1:11">
      <c r="A2454" s="568"/>
      <c r="B2454" s="593"/>
      <c r="C2454" s="577"/>
      <c r="G2454" s="612"/>
      <c r="H2454" s="598"/>
      <c r="I2454" s="598"/>
      <c r="J2454" s="614">
        <f>SUM(J2382:J2453)</f>
        <v>4985.5420000000004</v>
      </c>
      <c r="K2454" s="581"/>
    </row>
    <row r="2455" spans="1:11">
      <c r="A2455" s="568"/>
      <c r="B2455" s="610" t="s">
        <v>28</v>
      </c>
      <c r="C2455" s="577"/>
      <c r="G2455" s="612"/>
      <c r="H2455" s="598"/>
      <c r="I2455" s="598"/>
      <c r="J2455" s="605">
        <f>ROUNDUP(J2454,0)</f>
        <v>4986</v>
      </c>
      <c r="K2455" s="576" t="s">
        <v>9</v>
      </c>
    </row>
    <row r="2456" spans="1:11">
      <c r="A2456" s="568"/>
      <c r="B2456" s="593"/>
      <c r="C2456" s="577"/>
      <c r="G2456" s="612"/>
      <c r="H2456" s="598"/>
      <c r="I2456" s="598"/>
      <c r="J2456" s="598"/>
      <c r="K2456" s="581"/>
    </row>
    <row r="2457" spans="1:11" ht="117.75" customHeight="1">
      <c r="A2457" s="568">
        <f>A2380+1</f>
        <v>48</v>
      </c>
      <c r="B2457" s="723" t="str">
        <f>'BOQ-C&amp;I'!C179</f>
        <v>Plastering 15 mm thick for external surfaces with C.M1:5  (1 of cement : 5 of P.sand) including water proofing compound of “CICO No.1 or equivalent“ as per Manufacturer's Specification with sponge finish (washed sand finish) all complete as per specification and as directed.The rate shall include for include for necessary hacking, staging, scaffolding and curing at all levels and elevations and for providing drip bands / moulds / grooves to any size and shape etc.. as complete with all respects complying with relevant standard specification, as directed by the departmental officers.</v>
      </c>
      <c r="C2457" s="723"/>
      <c r="D2457" s="723"/>
      <c r="E2457" s="723"/>
      <c r="F2457" s="723"/>
      <c r="G2457" s="723"/>
      <c r="H2457" s="723"/>
      <c r="I2457" s="723"/>
      <c r="J2457" s="723"/>
      <c r="K2457" s="723"/>
    </row>
    <row r="2458" spans="1:11">
      <c r="A2458" s="568"/>
      <c r="B2458" s="593" t="s">
        <v>482</v>
      </c>
      <c r="C2458" s="589"/>
      <c r="G2458" s="590"/>
      <c r="H2458" s="591"/>
      <c r="I2458" s="591"/>
      <c r="J2458" s="591"/>
      <c r="K2458" s="592"/>
    </row>
    <row r="2459" spans="1:11">
      <c r="A2459" s="568"/>
      <c r="B2459" s="584" t="s">
        <v>50</v>
      </c>
      <c r="C2459" s="589"/>
      <c r="G2459" s="590"/>
      <c r="H2459" s="591"/>
      <c r="I2459" s="591"/>
      <c r="J2459" s="591"/>
      <c r="K2459" s="592"/>
    </row>
    <row r="2460" spans="1:11">
      <c r="A2460" s="568"/>
      <c r="B2460" s="601" t="s">
        <v>571</v>
      </c>
      <c r="C2460" s="593" t="s">
        <v>1022</v>
      </c>
      <c r="D2460" s="578">
        <v>2</v>
      </c>
      <c r="E2460" s="579" t="s">
        <v>8</v>
      </c>
      <c r="F2460" s="569">
        <v>1</v>
      </c>
      <c r="G2460" s="590">
        <v>27.8</v>
      </c>
      <c r="H2460" s="591"/>
      <c r="I2460" s="591">
        <v>0.45</v>
      </c>
      <c r="J2460" s="597">
        <f t="shared" ref="J2460:J2488" si="254">PRODUCT(D2460:I2460)</f>
        <v>25.02</v>
      </c>
      <c r="K2460" s="592"/>
    </row>
    <row r="2461" spans="1:11">
      <c r="A2461" s="568"/>
      <c r="B2461" s="601" t="s">
        <v>571</v>
      </c>
      <c r="C2461" s="593" t="s">
        <v>1022</v>
      </c>
      <c r="D2461" s="578">
        <v>2</v>
      </c>
      <c r="E2461" s="579" t="s">
        <v>8</v>
      </c>
      <c r="F2461" s="569">
        <v>1</v>
      </c>
      <c r="G2461" s="590">
        <v>5.375</v>
      </c>
      <c r="H2461" s="591"/>
      <c r="I2461" s="591">
        <v>0.6</v>
      </c>
      <c r="J2461" s="597">
        <f t="shared" si="254"/>
        <v>6.45</v>
      </c>
      <c r="K2461" s="592"/>
    </row>
    <row r="2462" spans="1:11">
      <c r="A2462" s="568"/>
      <c r="B2462" s="601" t="s">
        <v>570</v>
      </c>
      <c r="C2462" s="593" t="s">
        <v>1023</v>
      </c>
      <c r="D2462" s="578">
        <v>2</v>
      </c>
      <c r="E2462" s="579" t="s">
        <v>8</v>
      </c>
      <c r="F2462" s="569">
        <v>1</v>
      </c>
      <c r="G2462" s="590">
        <v>7.5</v>
      </c>
      <c r="H2462" s="591"/>
      <c r="I2462" s="591">
        <v>0.45</v>
      </c>
      <c r="J2462" s="597">
        <f t="shared" si="254"/>
        <v>6.75</v>
      </c>
      <c r="K2462" s="592"/>
    </row>
    <row r="2463" spans="1:11">
      <c r="A2463" s="568"/>
      <c r="B2463" s="601" t="s">
        <v>1024</v>
      </c>
      <c r="C2463" s="593" t="s">
        <v>1111</v>
      </c>
      <c r="D2463" s="578">
        <v>2</v>
      </c>
      <c r="E2463" s="579" t="s">
        <v>8</v>
      </c>
      <c r="F2463" s="569">
        <v>1</v>
      </c>
      <c r="G2463" s="590">
        <v>8.1999999999999993</v>
      </c>
      <c r="H2463" s="591"/>
      <c r="I2463" s="591">
        <v>0.45</v>
      </c>
      <c r="J2463" s="597">
        <f t="shared" si="254"/>
        <v>7.38</v>
      </c>
      <c r="K2463" s="592"/>
    </row>
    <row r="2464" spans="1:11">
      <c r="A2464" s="568"/>
      <c r="B2464" s="601" t="s">
        <v>1026</v>
      </c>
      <c r="C2464" s="593" t="s">
        <v>1022</v>
      </c>
      <c r="D2464" s="578">
        <v>2</v>
      </c>
      <c r="E2464" s="579" t="s">
        <v>8</v>
      </c>
      <c r="F2464" s="569">
        <v>1</v>
      </c>
      <c r="G2464" s="590">
        <v>1.425</v>
      </c>
      <c r="H2464" s="591"/>
      <c r="I2464" s="591">
        <v>0.45</v>
      </c>
      <c r="J2464" s="597">
        <f t="shared" si="254"/>
        <v>1.2825</v>
      </c>
      <c r="K2464" s="592"/>
    </row>
    <row r="2465" spans="1:11">
      <c r="A2465" s="568"/>
      <c r="B2465" s="601" t="s">
        <v>1027</v>
      </c>
      <c r="C2465" s="593" t="s">
        <v>1028</v>
      </c>
      <c r="D2465" s="578">
        <v>2</v>
      </c>
      <c r="E2465" s="579" t="s">
        <v>8</v>
      </c>
      <c r="F2465" s="569">
        <v>1</v>
      </c>
      <c r="G2465" s="590">
        <v>5.0750000000000002</v>
      </c>
      <c r="H2465" s="591"/>
      <c r="I2465" s="591">
        <v>0.45</v>
      </c>
      <c r="J2465" s="597">
        <f t="shared" si="254"/>
        <v>4.5674999999999999</v>
      </c>
      <c r="K2465" s="592"/>
    </row>
    <row r="2466" spans="1:11">
      <c r="A2466" s="568"/>
      <c r="B2466" s="601" t="s">
        <v>1029</v>
      </c>
      <c r="C2466" s="593" t="s">
        <v>1030</v>
      </c>
      <c r="D2466" s="578">
        <v>2</v>
      </c>
      <c r="E2466" s="579" t="s">
        <v>8</v>
      </c>
      <c r="F2466" s="569">
        <v>1</v>
      </c>
      <c r="G2466" s="590">
        <v>5.0750000000000002</v>
      </c>
      <c r="H2466" s="591"/>
      <c r="I2466" s="591">
        <v>0.6</v>
      </c>
      <c r="J2466" s="597">
        <f t="shared" si="254"/>
        <v>6.09</v>
      </c>
      <c r="K2466" s="592"/>
    </row>
    <row r="2467" spans="1:11">
      <c r="A2467" s="568"/>
      <c r="B2467" s="601" t="s">
        <v>1031</v>
      </c>
      <c r="C2467" s="593" t="s">
        <v>1030</v>
      </c>
      <c r="D2467" s="578">
        <v>2</v>
      </c>
      <c r="E2467" s="579" t="s">
        <v>8</v>
      </c>
      <c r="F2467" s="569">
        <v>1</v>
      </c>
      <c r="G2467" s="590">
        <v>5.8</v>
      </c>
      <c r="H2467" s="591"/>
      <c r="I2467" s="591">
        <v>0.45</v>
      </c>
      <c r="J2467" s="597">
        <f t="shared" si="254"/>
        <v>5.22</v>
      </c>
      <c r="K2467" s="592"/>
    </row>
    <row r="2468" spans="1:11">
      <c r="A2468" s="568"/>
      <c r="B2468" s="601" t="s">
        <v>1032</v>
      </c>
      <c r="C2468" s="593" t="s">
        <v>575</v>
      </c>
      <c r="D2468" s="578">
        <v>2</v>
      </c>
      <c r="E2468" s="579" t="s">
        <v>8</v>
      </c>
      <c r="F2468" s="569">
        <v>1</v>
      </c>
      <c r="G2468" s="590">
        <v>21.9</v>
      </c>
      <c r="H2468" s="591"/>
      <c r="I2468" s="591">
        <v>0.45</v>
      </c>
      <c r="J2468" s="597">
        <f t="shared" si="254"/>
        <v>19.71</v>
      </c>
      <c r="K2468" s="592"/>
    </row>
    <row r="2469" spans="1:11">
      <c r="A2469" s="568"/>
      <c r="B2469" s="601" t="s">
        <v>1033</v>
      </c>
      <c r="C2469" s="593" t="s">
        <v>577</v>
      </c>
      <c r="D2469" s="578">
        <v>2</v>
      </c>
      <c r="E2469" s="579" t="s">
        <v>8</v>
      </c>
      <c r="F2469" s="569">
        <v>1</v>
      </c>
      <c r="G2469" s="590">
        <v>2.9</v>
      </c>
      <c r="H2469" s="591"/>
      <c r="I2469" s="591">
        <v>0.45</v>
      </c>
      <c r="J2469" s="597">
        <f t="shared" si="254"/>
        <v>2.61</v>
      </c>
      <c r="K2469" s="592"/>
    </row>
    <row r="2470" spans="1:11">
      <c r="A2470" s="568"/>
      <c r="B2470" s="601" t="s">
        <v>1034</v>
      </c>
      <c r="C2470" s="593" t="s">
        <v>573</v>
      </c>
      <c r="D2470" s="578">
        <v>2</v>
      </c>
      <c r="E2470" s="579" t="s">
        <v>8</v>
      </c>
      <c r="F2470" s="569">
        <v>1</v>
      </c>
      <c r="G2470" s="590">
        <v>21.774999999999999</v>
      </c>
      <c r="H2470" s="591"/>
      <c r="I2470" s="591">
        <v>0.45</v>
      </c>
      <c r="J2470" s="597">
        <f t="shared" si="254"/>
        <v>19.5975</v>
      </c>
      <c r="K2470" s="592"/>
    </row>
    <row r="2471" spans="1:11">
      <c r="A2471" s="568"/>
      <c r="B2471" s="601" t="s">
        <v>1035</v>
      </c>
      <c r="C2471" s="593" t="s">
        <v>574</v>
      </c>
      <c r="D2471" s="578">
        <v>2</v>
      </c>
      <c r="E2471" s="579" t="s">
        <v>8</v>
      </c>
      <c r="F2471" s="569">
        <v>1</v>
      </c>
      <c r="G2471" s="590">
        <v>6.4</v>
      </c>
      <c r="H2471" s="591"/>
      <c r="I2471" s="591">
        <v>0.6</v>
      </c>
      <c r="J2471" s="597">
        <f t="shared" si="254"/>
        <v>7.68</v>
      </c>
      <c r="K2471" s="592"/>
    </row>
    <row r="2472" spans="1:11">
      <c r="A2472" s="568"/>
      <c r="B2472" s="601" t="s">
        <v>1036</v>
      </c>
      <c r="C2472" s="593" t="s">
        <v>572</v>
      </c>
      <c r="D2472" s="578">
        <v>2</v>
      </c>
      <c r="E2472" s="579" t="s">
        <v>8</v>
      </c>
      <c r="F2472" s="569">
        <v>1</v>
      </c>
      <c r="G2472" s="590">
        <v>6</v>
      </c>
      <c r="H2472" s="591"/>
      <c r="I2472" s="591">
        <v>0.45</v>
      </c>
      <c r="J2472" s="597">
        <f t="shared" si="254"/>
        <v>5.4</v>
      </c>
      <c r="K2472" s="592"/>
    </row>
    <row r="2473" spans="1:11">
      <c r="A2473" s="568"/>
      <c r="B2473" s="601" t="s">
        <v>1037</v>
      </c>
      <c r="C2473" s="593" t="s">
        <v>1038</v>
      </c>
      <c r="D2473" s="578">
        <v>2</v>
      </c>
      <c r="E2473" s="579" t="s">
        <v>8</v>
      </c>
      <c r="F2473" s="569">
        <v>1</v>
      </c>
      <c r="G2473" s="590">
        <v>2.5</v>
      </c>
      <c r="H2473" s="591"/>
      <c r="I2473" s="591">
        <v>0.45</v>
      </c>
      <c r="J2473" s="597">
        <f t="shared" si="254"/>
        <v>2.25</v>
      </c>
      <c r="K2473" s="592"/>
    </row>
    <row r="2474" spans="1:11">
      <c r="A2474" s="568"/>
      <c r="B2474" s="601" t="s">
        <v>1039</v>
      </c>
      <c r="C2474" s="593" t="s">
        <v>1040</v>
      </c>
      <c r="D2474" s="578">
        <v>2</v>
      </c>
      <c r="E2474" s="579" t="s">
        <v>8</v>
      </c>
      <c r="F2474" s="569">
        <v>2</v>
      </c>
      <c r="G2474" s="590">
        <v>1.1000000000000001</v>
      </c>
      <c r="H2474" s="591"/>
      <c r="I2474" s="591">
        <v>0.45</v>
      </c>
      <c r="J2474" s="597">
        <f t="shared" si="254"/>
        <v>1.9800000000000002</v>
      </c>
      <c r="K2474" s="592"/>
    </row>
    <row r="2475" spans="1:11">
      <c r="A2475" s="568"/>
      <c r="B2475" s="601" t="s">
        <v>1041</v>
      </c>
      <c r="C2475" s="593" t="s">
        <v>547</v>
      </c>
      <c r="D2475" s="578">
        <v>2</v>
      </c>
      <c r="E2475" s="579" t="s">
        <v>8</v>
      </c>
      <c r="F2475" s="569">
        <v>1</v>
      </c>
      <c r="G2475" s="590">
        <v>7.9</v>
      </c>
      <c r="H2475" s="591"/>
      <c r="I2475" s="591">
        <v>0.45</v>
      </c>
      <c r="J2475" s="597">
        <f t="shared" si="254"/>
        <v>7.11</v>
      </c>
      <c r="K2475" s="592"/>
    </row>
    <row r="2476" spans="1:11">
      <c r="A2476" s="568"/>
      <c r="B2476" s="601" t="s">
        <v>1042</v>
      </c>
      <c r="C2476" s="593" t="s">
        <v>547</v>
      </c>
      <c r="D2476" s="578">
        <v>2</v>
      </c>
      <c r="E2476" s="579" t="s">
        <v>8</v>
      </c>
      <c r="F2476" s="569">
        <v>1</v>
      </c>
      <c r="G2476" s="590">
        <v>3.7</v>
      </c>
      <c r="H2476" s="591"/>
      <c r="I2476" s="591">
        <v>0.45</v>
      </c>
      <c r="J2476" s="597">
        <f t="shared" si="254"/>
        <v>3.33</v>
      </c>
      <c r="K2476" s="592"/>
    </row>
    <row r="2477" spans="1:11">
      <c r="A2477" s="568"/>
      <c r="B2477" s="601" t="s">
        <v>1043</v>
      </c>
      <c r="C2477" s="593" t="s">
        <v>491</v>
      </c>
      <c r="D2477" s="578">
        <v>2</v>
      </c>
      <c r="E2477" s="579" t="s">
        <v>8</v>
      </c>
      <c r="F2477" s="569">
        <v>1</v>
      </c>
      <c r="G2477" s="590">
        <v>1.956</v>
      </c>
      <c r="H2477" s="591"/>
      <c r="I2477" s="591">
        <v>0.45</v>
      </c>
      <c r="J2477" s="597">
        <f t="shared" si="254"/>
        <v>1.7604</v>
      </c>
      <c r="K2477" s="592"/>
    </row>
    <row r="2478" spans="1:11">
      <c r="A2478" s="568"/>
      <c r="B2478" s="601" t="s">
        <v>1043</v>
      </c>
      <c r="C2478" s="593" t="s">
        <v>491</v>
      </c>
      <c r="D2478" s="578">
        <v>2</v>
      </c>
      <c r="E2478" s="579" t="s">
        <v>8</v>
      </c>
      <c r="F2478" s="569">
        <v>1</v>
      </c>
      <c r="G2478" s="590">
        <v>6.6</v>
      </c>
      <c r="H2478" s="591"/>
      <c r="I2478" s="591">
        <v>0.6</v>
      </c>
      <c r="J2478" s="597">
        <f t="shared" si="254"/>
        <v>7.919999999999999</v>
      </c>
      <c r="K2478" s="592"/>
    </row>
    <row r="2479" spans="1:11">
      <c r="A2479" s="568"/>
      <c r="B2479" s="601" t="s">
        <v>1037</v>
      </c>
      <c r="C2479" s="593" t="s">
        <v>491</v>
      </c>
      <c r="D2479" s="578">
        <v>2</v>
      </c>
      <c r="E2479" s="579" t="s">
        <v>8</v>
      </c>
      <c r="F2479" s="569">
        <v>1</v>
      </c>
      <c r="G2479" s="590">
        <v>2.5</v>
      </c>
      <c r="H2479" s="591"/>
      <c r="I2479" s="591">
        <v>0.6</v>
      </c>
      <c r="J2479" s="597">
        <f t="shared" si="254"/>
        <v>3</v>
      </c>
      <c r="K2479" s="592"/>
    </row>
    <row r="2480" spans="1:11">
      <c r="A2480" s="568"/>
      <c r="B2480" s="601" t="s">
        <v>1036</v>
      </c>
      <c r="C2480" s="593" t="s">
        <v>550</v>
      </c>
      <c r="D2480" s="578">
        <v>2</v>
      </c>
      <c r="E2480" s="579" t="s">
        <v>8</v>
      </c>
      <c r="F2480" s="569">
        <v>1</v>
      </c>
      <c r="G2480" s="590">
        <v>6.2</v>
      </c>
      <c r="H2480" s="591"/>
      <c r="I2480" s="591">
        <v>0.45</v>
      </c>
      <c r="J2480" s="597">
        <f t="shared" si="254"/>
        <v>5.58</v>
      </c>
      <c r="K2480" s="592"/>
    </row>
    <row r="2481" spans="1:11">
      <c r="A2481" s="568"/>
      <c r="B2481" s="601" t="s">
        <v>1044</v>
      </c>
      <c r="C2481" s="593" t="s">
        <v>490</v>
      </c>
      <c r="D2481" s="578">
        <v>2</v>
      </c>
      <c r="E2481" s="579" t="s">
        <v>8</v>
      </c>
      <c r="F2481" s="569">
        <v>1</v>
      </c>
      <c r="G2481" s="590">
        <v>12.975</v>
      </c>
      <c r="H2481" s="591"/>
      <c r="I2481" s="591">
        <v>0.45</v>
      </c>
      <c r="J2481" s="597">
        <f t="shared" si="254"/>
        <v>11.6775</v>
      </c>
      <c r="K2481" s="592"/>
    </row>
    <row r="2482" spans="1:11">
      <c r="A2482" s="568"/>
      <c r="B2482" s="601" t="s">
        <v>1045</v>
      </c>
      <c r="C2482" s="593" t="s">
        <v>548</v>
      </c>
      <c r="D2482" s="578">
        <v>2</v>
      </c>
      <c r="E2482" s="579" t="s">
        <v>8</v>
      </c>
      <c r="F2482" s="569">
        <v>1</v>
      </c>
      <c r="G2482" s="590">
        <v>1.9</v>
      </c>
      <c r="H2482" s="591"/>
      <c r="I2482" s="591">
        <v>0.6</v>
      </c>
      <c r="J2482" s="597">
        <f t="shared" si="254"/>
        <v>2.2799999999999998</v>
      </c>
      <c r="K2482" s="592"/>
    </row>
    <row r="2483" spans="1:11">
      <c r="A2483" s="568"/>
      <c r="B2483" s="601" t="s">
        <v>1045</v>
      </c>
      <c r="C2483" s="593" t="s">
        <v>548</v>
      </c>
      <c r="D2483" s="578">
        <v>2</v>
      </c>
      <c r="E2483" s="579" t="s">
        <v>8</v>
      </c>
      <c r="F2483" s="569">
        <v>1</v>
      </c>
      <c r="G2483" s="590">
        <v>6.8</v>
      </c>
      <c r="H2483" s="591"/>
      <c r="I2483" s="591">
        <v>0.6</v>
      </c>
      <c r="J2483" s="597">
        <f t="shared" si="254"/>
        <v>8.16</v>
      </c>
      <c r="K2483" s="592"/>
    </row>
    <row r="2484" spans="1:11">
      <c r="A2484" s="568"/>
      <c r="B2484" s="601" t="s">
        <v>1046</v>
      </c>
      <c r="C2484" s="593" t="s">
        <v>489</v>
      </c>
      <c r="D2484" s="578">
        <v>2</v>
      </c>
      <c r="E2484" s="579" t="s">
        <v>8</v>
      </c>
      <c r="F2484" s="569">
        <v>1</v>
      </c>
      <c r="G2484" s="590">
        <v>1.9</v>
      </c>
      <c r="H2484" s="591"/>
      <c r="I2484" s="591">
        <v>0.45</v>
      </c>
      <c r="J2484" s="597">
        <f t="shared" si="254"/>
        <v>1.71</v>
      </c>
      <c r="K2484" s="592"/>
    </row>
    <row r="2485" spans="1:11">
      <c r="A2485" s="568"/>
      <c r="B2485" s="601" t="s">
        <v>1047</v>
      </c>
      <c r="C2485" s="593" t="s">
        <v>489</v>
      </c>
      <c r="D2485" s="578">
        <v>2</v>
      </c>
      <c r="E2485" s="579" t="s">
        <v>8</v>
      </c>
      <c r="F2485" s="569">
        <v>1</v>
      </c>
      <c r="G2485" s="590">
        <v>16.675000000000001</v>
      </c>
      <c r="H2485" s="591"/>
      <c r="I2485" s="591">
        <v>0.45</v>
      </c>
      <c r="J2485" s="597">
        <f t="shared" si="254"/>
        <v>15.0075</v>
      </c>
      <c r="K2485" s="592"/>
    </row>
    <row r="2486" spans="1:11">
      <c r="A2486" s="568"/>
      <c r="B2486" s="601" t="s">
        <v>1048</v>
      </c>
      <c r="C2486" s="593" t="s">
        <v>489</v>
      </c>
      <c r="D2486" s="578">
        <v>2</v>
      </c>
      <c r="E2486" s="579" t="s">
        <v>8</v>
      </c>
      <c r="F2486" s="569">
        <v>1</v>
      </c>
      <c r="G2486" s="590">
        <v>1.9</v>
      </c>
      <c r="H2486" s="591"/>
      <c r="I2486" s="591">
        <v>0.45</v>
      </c>
      <c r="J2486" s="597">
        <f t="shared" si="254"/>
        <v>1.71</v>
      </c>
      <c r="K2486" s="592"/>
    </row>
    <row r="2487" spans="1:11">
      <c r="A2487" s="568"/>
      <c r="B2487" s="601" t="s">
        <v>1049</v>
      </c>
      <c r="C2487" s="577" t="s">
        <v>583</v>
      </c>
      <c r="D2487" s="578">
        <v>2</v>
      </c>
      <c r="E2487" s="579" t="s">
        <v>8</v>
      </c>
      <c r="F2487" s="569">
        <v>1</v>
      </c>
      <c r="G2487" s="590">
        <v>27.8</v>
      </c>
      <c r="H2487" s="591"/>
      <c r="I2487" s="591">
        <v>0.45</v>
      </c>
      <c r="J2487" s="597">
        <f t="shared" si="254"/>
        <v>25.02</v>
      </c>
      <c r="K2487" s="592"/>
    </row>
    <row r="2488" spans="1:11">
      <c r="A2488" s="568"/>
      <c r="B2488" s="601" t="s">
        <v>1049</v>
      </c>
      <c r="C2488" s="577" t="s">
        <v>583</v>
      </c>
      <c r="D2488" s="578">
        <v>2</v>
      </c>
      <c r="E2488" s="579" t="s">
        <v>8</v>
      </c>
      <c r="F2488" s="569">
        <v>1</v>
      </c>
      <c r="G2488" s="590">
        <v>5.375</v>
      </c>
      <c r="H2488" s="591"/>
      <c r="I2488" s="591">
        <v>0.6</v>
      </c>
      <c r="J2488" s="597">
        <f t="shared" si="254"/>
        <v>6.45</v>
      </c>
      <c r="K2488" s="592"/>
    </row>
    <row r="2489" spans="1:11">
      <c r="A2489" s="568"/>
      <c r="B2489" s="584" t="s">
        <v>488</v>
      </c>
      <c r="C2489" s="589"/>
      <c r="G2489" s="590"/>
      <c r="H2489" s="591"/>
      <c r="I2489" s="591"/>
      <c r="J2489" s="597"/>
      <c r="K2489" s="592"/>
    </row>
    <row r="2490" spans="1:11">
      <c r="A2490" s="568"/>
      <c r="B2490" s="601" t="s">
        <v>1050</v>
      </c>
      <c r="C2490" s="593" t="s">
        <v>549</v>
      </c>
      <c r="D2490" s="578">
        <v>2</v>
      </c>
      <c r="E2490" s="579" t="s">
        <v>8</v>
      </c>
      <c r="F2490" s="569">
        <v>1</v>
      </c>
      <c r="G2490" s="590">
        <v>20.2</v>
      </c>
      <c r="H2490" s="591"/>
      <c r="I2490" s="591">
        <v>0.45</v>
      </c>
      <c r="J2490" s="597">
        <f t="shared" ref="J2490:J2520" si="255">PRODUCT(D2490:I2490)</f>
        <v>18.18</v>
      </c>
      <c r="K2490" s="592"/>
    </row>
    <row r="2491" spans="1:11">
      <c r="A2491" s="568"/>
      <c r="B2491" s="601" t="s">
        <v>1051</v>
      </c>
      <c r="C2491" s="593" t="s">
        <v>483</v>
      </c>
      <c r="D2491" s="578">
        <v>2</v>
      </c>
      <c r="E2491" s="579" t="s">
        <v>8</v>
      </c>
      <c r="F2491" s="569">
        <v>1</v>
      </c>
      <c r="G2491" s="590">
        <v>3.7</v>
      </c>
      <c r="H2491" s="591"/>
      <c r="I2491" s="591">
        <v>0.6</v>
      </c>
      <c r="J2491" s="597">
        <f t="shared" si="255"/>
        <v>4.4400000000000004</v>
      </c>
      <c r="K2491" s="592"/>
    </row>
    <row r="2492" spans="1:11">
      <c r="A2492" s="568"/>
      <c r="B2492" s="601" t="s">
        <v>1052</v>
      </c>
      <c r="C2492" s="593" t="s">
        <v>1053</v>
      </c>
      <c r="D2492" s="578">
        <v>2</v>
      </c>
      <c r="E2492" s="579" t="s">
        <v>8</v>
      </c>
      <c r="F2492" s="569">
        <v>1</v>
      </c>
      <c r="G2492" s="590">
        <v>3.3</v>
      </c>
      <c r="H2492" s="591"/>
      <c r="I2492" s="591">
        <v>0.45</v>
      </c>
      <c r="J2492" s="597">
        <f t="shared" si="255"/>
        <v>2.9699999999999998</v>
      </c>
      <c r="K2492" s="592"/>
    </row>
    <row r="2493" spans="1:11">
      <c r="A2493" s="568"/>
      <c r="B2493" s="601" t="s">
        <v>1054</v>
      </c>
      <c r="C2493" s="593" t="s">
        <v>1055</v>
      </c>
      <c r="D2493" s="578">
        <v>2</v>
      </c>
      <c r="E2493" s="579" t="s">
        <v>8</v>
      </c>
      <c r="F2493" s="569">
        <v>1</v>
      </c>
      <c r="G2493" s="590">
        <v>3.5</v>
      </c>
      <c r="H2493" s="591"/>
      <c r="I2493" s="591">
        <v>0.45</v>
      </c>
      <c r="J2493" s="597">
        <f t="shared" si="255"/>
        <v>3.15</v>
      </c>
      <c r="K2493" s="592"/>
    </row>
    <row r="2494" spans="1:11">
      <c r="A2494" s="568"/>
      <c r="B2494" s="601" t="s">
        <v>1056</v>
      </c>
      <c r="C2494" s="593" t="s">
        <v>1057</v>
      </c>
      <c r="D2494" s="578">
        <v>2</v>
      </c>
      <c r="E2494" s="579" t="s">
        <v>8</v>
      </c>
      <c r="F2494" s="569">
        <v>1</v>
      </c>
      <c r="G2494" s="590">
        <v>3.5</v>
      </c>
      <c r="H2494" s="591"/>
      <c r="I2494" s="591">
        <v>0.45</v>
      </c>
      <c r="J2494" s="597">
        <f t="shared" si="255"/>
        <v>3.15</v>
      </c>
      <c r="K2494" s="592"/>
    </row>
    <row r="2495" spans="1:11">
      <c r="A2495" s="568"/>
      <c r="B2495" s="601" t="s">
        <v>1058</v>
      </c>
      <c r="C2495" s="593" t="s">
        <v>1059</v>
      </c>
      <c r="D2495" s="578">
        <v>2</v>
      </c>
      <c r="E2495" s="579" t="s">
        <v>8</v>
      </c>
      <c r="F2495" s="569">
        <v>1</v>
      </c>
      <c r="G2495" s="590">
        <v>8.3000000000000007</v>
      </c>
      <c r="H2495" s="591"/>
      <c r="I2495" s="591">
        <v>0.45</v>
      </c>
      <c r="J2495" s="597">
        <f t="shared" si="255"/>
        <v>7.4700000000000006</v>
      </c>
      <c r="K2495" s="592"/>
    </row>
    <row r="2496" spans="1:11">
      <c r="A2496" s="568"/>
      <c r="B2496" s="601" t="s">
        <v>1052</v>
      </c>
      <c r="C2496" s="593" t="s">
        <v>1060</v>
      </c>
      <c r="D2496" s="578">
        <v>2</v>
      </c>
      <c r="E2496" s="579" t="s">
        <v>8</v>
      </c>
      <c r="F2496" s="569">
        <v>1</v>
      </c>
      <c r="G2496" s="590">
        <v>16.7</v>
      </c>
      <c r="H2496" s="591"/>
      <c r="I2496" s="591">
        <v>0.45</v>
      </c>
      <c r="J2496" s="597">
        <f t="shared" si="255"/>
        <v>15.03</v>
      </c>
      <c r="K2496" s="592"/>
    </row>
    <row r="2497" spans="1:11">
      <c r="A2497" s="568"/>
      <c r="B2497" s="601" t="s">
        <v>1061</v>
      </c>
      <c r="C2497" s="593" t="s">
        <v>485</v>
      </c>
      <c r="D2497" s="578">
        <v>2</v>
      </c>
      <c r="E2497" s="579" t="s">
        <v>8</v>
      </c>
      <c r="F2497" s="569">
        <v>1</v>
      </c>
      <c r="G2497" s="590">
        <v>6.8</v>
      </c>
      <c r="H2497" s="591"/>
      <c r="I2497" s="591">
        <v>0.45</v>
      </c>
      <c r="J2497" s="597">
        <f t="shared" si="255"/>
        <v>6.12</v>
      </c>
      <c r="K2497" s="592"/>
    </row>
    <row r="2498" spans="1:11">
      <c r="A2498" s="568"/>
      <c r="B2498" s="601" t="s">
        <v>1061</v>
      </c>
      <c r="C2498" s="593" t="s">
        <v>485</v>
      </c>
      <c r="D2498" s="578">
        <v>2</v>
      </c>
      <c r="E2498" s="579" t="s">
        <v>8</v>
      </c>
      <c r="F2498" s="569">
        <v>1</v>
      </c>
      <c r="G2498" s="590">
        <v>7.351</v>
      </c>
      <c r="H2498" s="591"/>
      <c r="I2498" s="591">
        <v>0.45</v>
      </c>
      <c r="J2498" s="597">
        <f t="shared" si="255"/>
        <v>6.6158999999999999</v>
      </c>
      <c r="K2498" s="592"/>
    </row>
    <row r="2499" spans="1:11">
      <c r="A2499" s="568"/>
      <c r="B2499" s="601" t="s">
        <v>1061</v>
      </c>
      <c r="C2499" s="593" t="s">
        <v>485</v>
      </c>
      <c r="D2499" s="578">
        <v>2</v>
      </c>
      <c r="E2499" s="579" t="s">
        <v>8</v>
      </c>
      <c r="F2499" s="569">
        <v>1</v>
      </c>
      <c r="G2499" s="590">
        <v>6.5990000000000002</v>
      </c>
      <c r="H2499" s="591"/>
      <c r="I2499" s="591">
        <v>0.45</v>
      </c>
      <c r="J2499" s="597">
        <f t="shared" si="255"/>
        <v>5.9391000000000007</v>
      </c>
      <c r="K2499" s="592"/>
    </row>
    <row r="2500" spans="1:11">
      <c r="A2500" s="568"/>
      <c r="B2500" s="601" t="s">
        <v>1062</v>
      </c>
      <c r="C2500" s="593" t="s">
        <v>487</v>
      </c>
      <c r="D2500" s="578">
        <v>2</v>
      </c>
      <c r="E2500" s="579" t="s">
        <v>8</v>
      </c>
      <c r="F2500" s="569">
        <v>1</v>
      </c>
      <c r="G2500" s="590">
        <v>6.5</v>
      </c>
      <c r="H2500" s="591"/>
      <c r="I2500" s="591">
        <v>0.45</v>
      </c>
      <c r="J2500" s="597">
        <f t="shared" si="255"/>
        <v>5.8500000000000005</v>
      </c>
      <c r="K2500" s="592"/>
    </row>
    <row r="2501" spans="1:11">
      <c r="A2501" s="568"/>
      <c r="B2501" s="601" t="s">
        <v>1063</v>
      </c>
      <c r="C2501" s="593" t="s">
        <v>487</v>
      </c>
      <c r="D2501" s="578">
        <v>2</v>
      </c>
      <c r="E2501" s="579" t="s">
        <v>8</v>
      </c>
      <c r="F2501" s="569">
        <v>1</v>
      </c>
      <c r="G2501" s="590">
        <v>5.4</v>
      </c>
      <c r="H2501" s="591"/>
      <c r="I2501" s="591">
        <v>0.45</v>
      </c>
      <c r="J2501" s="597">
        <f t="shared" si="255"/>
        <v>4.8600000000000003</v>
      </c>
      <c r="K2501" s="592"/>
    </row>
    <row r="2502" spans="1:11">
      <c r="A2502" s="568"/>
      <c r="B2502" s="601" t="s">
        <v>571</v>
      </c>
      <c r="C2502" s="593" t="s">
        <v>1064</v>
      </c>
      <c r="D2502" s="578">
        <v>2</v>
      </c>
      <c r="E2502" s="579" t="s">
        <v>8</v>
      </c>
      <c r="F2502" s="569">
        <v>3</v>
      </c>
      <c r="G2502" s="590">
        <v>1.7</v>
      </c>
      <c r="H2502" s="591"/>
      <c r="I2502" s="591">
        <v>0.45</v>
      </c>
      <c r="J2502" s="597">
        <f t="shared" si="255"/>
        <v>4.59</v>
      </c>
      <c r="K2502" s="592"/>
    </row>
    <row r="2503" spans="1:11">
      <c r="A2503" s="568"/>
      <c r="B2503" s="601" t="s">
        <v>1065</v>
      </c>
      <c r="C2503" s="593" t="s">
        <v>1064</v>
      </c>
      <c r="D2503" s="578">
        <v>2</v>
      </c>
      <c r="E2503" s="579" t="s">
        <v>8</v>
      </c>
      <c r="F2503" s="569">
        <v>1</v>
      </c>
      <c r="G2503" s="590">
        <v>6.8</v>
      </c>
      <c r="H2503" s="591"/>
      <c r="I2503" s="591">
        <v>0.6</v>
      </c>
      <c r="J2503" s="597">
        <f t="shared" si="255"/>
        <v>8.16</v>
      </c>
      <c r="K2503" s="592"/>
    </row>
    <row r="2504" spans="1:11" ht="18" customHeight="1">
      <c r="A2504" s="568"/>
      <c r="B2504" s="601" t="s">
        <v>1066</v>
      </c>
      <c r="C2504" s="593" t="s">
        <v>1067</v>
      </c>
      <c r="D2504" s="578">
        <v>2</v>
      </c>
      <c r="E2504" s="579" t="s">
        <v>8</v>
      </c>
      <c r="F2504" s="569">
        <v>1</v>
      </c>
      <c r="G2504" s="590">
        <v>2.6</v>
      </c>
      <c r="H2504" s="591"/>
      <c r="I2504" s="591">
        <v>0.6</v>
      </c>
      <c r="J2504" s="597">
        <f t="shared" si="255"/>
        <v>3.12</v>
      </c>
      <c r="K2504" s="568"/>
    </row>
    <row r="2505" spans="1:11" ht="18" customHeight="1">
      <c r="A2505" s="568"/>
      <c r="B2505" s="601" t="s">
        <v>1062</v>
      </c>
      <c r="C2505" s="593" t="s">
        <v>1068</v>
      </c>
      <c r="D2505" s="578">
        <v>2</v>
      </c>
      <c r="E2505" s="579" t="s">
        <v>8</v>
      </c>
      <c r="F2505" s="569">
        <v>1</v>
      </c>
      <c r="G2505" s="590">
        <v>4.4000000000000004</v>
      </c>
      <c r="H2505" s="591"/>
      <c r="I2505" s="591">
        <v>0.45</v>
      </c>
      <c r="J2505" s="597">
        <f t="shared" si="255"/>
        <v>3.9600000000000004</v>
      </c>
      <c r="K2505" s="568"/>
    </row>
    <row r="2506" spans="1:11" ht="18" customHeight="1">
      <c r="A2506" s="568"/>
      <c r="B2506" s="601" t="s">
        <v>1069</v>
      </c>
      <c r="C2506" s="593" t="s">
        <v>1070</v>
      </c>
      <c r="D2506" s="578">
        <v>2</v>
      </c>
      <c r="E2506" s="579" t="s">
        <v>8</v>
      </c>
      <c r="F2506" s="569">
        <v>1</v>
      </c>
      <c r="G2506" s="590">
        <v>6.8</v>
      </c>
      <c r="H2506" s="591"/>
      <c r="I2506" s="591">
        <v>0.6</v>
      </c>
      <c r="J2506" s="597">
        <f t="shared" si="255"/>
        <v>8.16</v>
      </c>
      <c r="K2506" s="568"/>
    </row>
    <row r="2507" spans="1:11" ht="18" customHeight="1">
      <c r="A2507" s="568"/>
      <c r="B2507" s="601" t="s">
        <v>1062</v>
      </c>
      <c r="C2507" s="593" t="s">
        <v>1068</v>
      </c>
      <c r="D2507" s="578">
        <v>2</v>
      </c>
      <c r="E2507" s="579" t="s">
        <v>8</v>
      </c>
      <c r="F2507" s="569">
        <v>1</v>
      </c>
      <c r="G2507" s="590">
        <v>4.4000000000000004</v>
      </c>
      <c r="H2507" s="591"/>
      <c r="I2507" s="591">
        <v>0.45</v>
      </c>
      <c r="J2507" s="597">
        <f t="shared" si="255"/>
        <v>3.9600000000000004</v>
      </c>
      <c r="K2507" s="568"/>
    </row>
    <row r="2508" spans="1:11" ht="18" customHeight="1">
      <c r="A2508" s="568"/>
      <c r="B2508" s="601" t="s">
        <v>1066</v>
      </c>
      <c r="C2508" s="593" t="s">
        <v>1071</v>
      </c>
      <c r="D2508" s="578">
        <v>2</v>
      </c>
      <c r="E2508" s="579" t="s">
        <v>8</v>
      </c>
      <c r="F2508" s="569">
        <v>1</v>
      </c>
      <c r="G2508" s="590">
        <v>2.6</v>
      </c>
      <c r="H2508" s="591"/>
      <c r="I2508" s="591">
        <v>0.45</v>
      </c>
      <c r="J2508" s="597">
        <f t="shared" si="255"/>
        <v>2.3400000000000003</v>
      </c>
      <c r="K2508" s="568"/>
    </row>
    <row r="2509" spans="1:11" ht="18" customHeight="1">
      <c r="A2509" s="568"/>
      <c r="B2509" s="601" t="s">
        <v>1065</v>
      </c>
      <c r="C2509" s="593" t="s">
        <v>1072</v>
      </c>
      <c r="D2509" s="578">
        <v>2</v>
      </c>
      <c r="E2509" s="579" t="s">
        <v>8</v>
      </c>
      <c r="F2509" s="569">
        <v>1</v>
      </c>
      <c r="G2509" s="590">
        <v>6.7990000000000004</v>
      </c>
      <c r="H2509" s="591"/>
      <c r="I2509" s="591">
        <v>0.45</v>
      </c>
      <c r="J2509" s="597">
        <f t="shared" si="255"/>
        <v>6.1191000000000004</v>
      </c>
      <c r="K2509" s="568"/>
    </row>
    <row r="2510" spans="1:11" ht="18" customHeight="1">
      <c r="A2510" s="568"/>
      <c r="B2510" s="601" t="s">
        <v>1073</v>
      </c>
      <c r="C2510" s="593" t="s">
        <v>1074</v>
      </c>
      <c r="D2510" s="578">
        <v>2</v>
      </c>
      <c r="E2510" s="579" t="s">
        <v>8</v>
      </c>
      <c r="F2510" s="569">
        <v>1</v>
      </c>
      <c r="G2510" s="590">
        <v>11.8</v>
      </c>
      <c r="H2510" s="591"/>
      <c r="I2510" s="591">
        <v>0.45</v>
      </c>
      <c r="J2510" s="597">
        <f t="shared" si="255"/>
        <v>10.620000000000001</v>
      </c>
      <c r="K2510" s="568"/>
    </row>
    <row r="2511" spans="1:11" ht="18" customHeight="1">
      <c r="A2511" s="568"/>
      <c r="B2511" s="601" t="s">
        <v>1075</v>
      </c>
      <c r="C2511" s="593" t="s">
        <v>1076</v>
      </c>
      <c r="D2511" s="578">
        <v>2</v>
      </c>
      <c r="E2511" s="579" t="s">
        <v>8</v>
      </c>
      <c r="F2511" s="569">
        <v>1</v>
      </c>
      <c r="G2511" s="590">
        <v>6.7990000000000004</v>
      </c>
      <c r="H2511" s="591"/>
      <c r="I2511" s="591">
        <v>0.45</v>
      </c>
      <c r="J2511" s="597">
        <f t="shared" si="255"/>
        <v>6.1191000000000004</v>
      </c>
      <c r="K2511" s="568"/>
    </row>
    <row r="2512" spans="1:11" ht="18" customHeight="1">
      <c r="A2512" s="568"/>
      <c r="B2512" s="601" t="s">
        <v>1077</v>
      </c>
      <c r="C2512" s="593" t="s">
        <v>1078</v>
      </c>
      <c r="D2512" s="578">
        <v>2</v>
      </c>
      <c r="E2512" s="579" t="s">
        <v>8</v>
      </c>
      <c r="F2512" s="569">
        <v>1</v>
      </c>
      <c r="G2512" s="590">
        <v>11.9</v>
      </c>
      <c r="H2512" s="591"/>
      <c r="I2512" s="591">
        <v>0.45</v>
      </c>
      <c r="J2512" s="597">
        <f t="shared" si="255"/>
        <v>10.71</v>
      </c>
      <c r="K2512" s="568"/>
    </row>
    <row r="2513" spans="1:11" ht="18" customHeight="1">
      <c r="A2513" s="568"/>
      <c r="B2513" s="601" t="s">
        <v>1079</v>
      </c>
      <c r="C2513" s="593" t="s">
        <v>1078</v>
      </c>
      <c r="D2513" s="578">
        <v>2</v>
      </c>
      <c r="E2513" s="579" t="s">
        <v>8</v>
      </c>
      <c r="F2513" s="569">
        <v>1</v>
      </c>
      <c r="G2513" s="590">
        <v>12.201000000000001</v>
      </c>
      <c r="H2513" s="591"/>
      <c r="I2513" s="591">
        <v>0.45</v>
      </c>
      <c r="J2513" s="597">
        <f t="shared" si="255"/>
        <v>10.9809</v>
      </c>
      <c r="K2513" s="568"/>
    </row>
    <row r="2514" spans="1:11" ht="18" customHeight="1">
      <c r="A2514" s="568"/>
      <c r="B2514" s="601" t="s">
        <v>1080</v>
      </c>
      <c r="C2514" s="593" t="s">
        <v>1081</v>
      </c>
      <c r="D2514" s="578">
        <v>2</v>
      </c>
      <c r="E2514" s="579" t="s">
        <v>8</v>
      </c>
      <c r="F2514" s="569">
        <v>1</v>
      </c>
      <c r="G2514" s="590">
        <v>8.2010000000000005</v>
      </c>
      <c r="H2514" s="591"/>
      <c r="I2514" s="591">
        <v>0.6</v>
      </c>
      <c r="J2514" s="597">
        <f t="shared" si="255"/>
        <v>9.8412000000000006</v>
      </c>
      <c r="K2514" s="568"/>
    </row>
    <row r="2515" spans="1:11" ht="18" customHeight="1">
      <c r="A2515" s="568"/>
      <c r="B2515" s="601" t="s">
        <v>1082</v>
      </c>
      <c r="C2515" s="593" t="s">
        <v>1083</v>
      </c>
      <c r="D2515" s="578">
        <v>2</v>
      </c>
      <c r="E2515" s="579" t="s">
        <v>8</v>
      </c>
      <c r="F2515" s="569">
        <v>1</v>
      </c>
      <c r="G2515" s="590">
        <v>11.01</v>
      </c>
      <c r="H2515" s="591"/>
      <c r="I2515" s="591">
        <v>0.45</v>
      </c>
      <c r="J2515" s="597">
        <f t="shared" si="255"/>
        <v>9.9090000000000007</v>
      </c>
      <c r="K2515" s="568"/>
    </row>
    <row r="2516" spans="1:11" ht="18" customHeight="1">
      <c r="A2516" s="568"/>
      <c r="B2516" s="601" t="s">
        <v>1084</v>
      </c>
      <c r="C2516" s="593" t="s">
        <v>1085</v>
      </c>
      <c r="D2516" s="578">
        <v>2</v>
      </c>
      <c r="E2516" s="579" t="s">
        <v>8</v>
      </c>
      <c r="F2516" s="569">
        <v>1</v>
      </c>
      <c r="G2516" s="590">
        <v>4.2</v>
      </c>
      <c r="H2516" s="591"/>
      <c r="I2516" s="591">
        <v>0.45</v>
      </c>
      <c r="J2516" s="597">
        <f t="shared" si="255"/>
        <v>3.7800000000000002</v>
      </c>
      <c r="K2516" s="568"/>
    </row>
    <row r="2517" spans="1:11" ht="18" customHeight="1">
      <c r="A2517" s="568"/>
      <c r="B2517" s="601" t="s">
        <v>1086</v>
      </c>
      <c r="C2517" s="593" t="s">
        <v>1085</v>
      </c>
      <c r="D2517" s="578">
        <v>2</v>
      </c>
      <c r="E2517" s="579" t="s">
        <v>8</v>
      </c>
      <c r="F2517" s="569">
        <v>1</v>
      </c>
      <c r="G2517" s="590">
        <v>1.1000000000000001</v>
      </c>
      <c r="H2517" s="591"/>
      <c r="I2517" s="591">
        <v>0.45</v>
      </c>
      <c r="J2517" s="597">
        <f t="shared" si="255"/>
        <v>0.9900000000000001</v>
      </c>
      <c r="K2517" s="568"/>
    </row>
    <row r="2518" spans="1:11" ht="18" customHeight="1">
      <c r="A2518" s="568"/>
      <c r="B2518" s="601" t="s">
        <v>1087</v>
      </c>
      <c r="C2518" s="593" t="s">
        <v>1088</v>
      </c>
      <c r="D2518" s="578">
        <v>2</v>
      </c>
      <c r="E2518" s="579" t="s">
        <v>8</v>
      </c>
      <c r="F2518" s="569">
        <v>1</v>
      </c>
      <c r="G2518" s="590">
        <v>3</v>
      </c>
      <c r="H2518" s="591"/>
      <c r="I2518" s="591">
        <v>0.45</v>
      </c>
      <c r="J2518" s="597">
        <f t="shared" si="255"/>
        <v>2.7</v>
      </c>
      <c r="K2518" s="568"/>
    </row>
    <row r="2519" spans="1:11" ht="18" customHeight="1">
      <c r="A2519" s="568"/>
      <c r="B2519" s="601" t="s">
        <v>1089</v>
      </c>
      <c r="C2519" s="593" t="s">
        <v>1090</v>
      </c>
      <c r="D2519" s="578">
        <v>2</v>
      </c>
      <c r="E2519" s="579" t="s">
        <v>8</v>
      </c>
      <c r="F2519" s="569">
        <v>1</v>
      </c>
      <c r="G2519" s="590">
        <v>12.201000000000001</v>
      </c>
      <c r="H2519" s="591"/>
      <c r="I2519" s="591">
        <v>0.45</v>
      </c>
      <c r="J2519" s="597">
        <f t="shared" si="255"/>
        <v>10.9809</v>
      </c>
      <c r="K2519" s="568"/>
    </row>
    <row r="2520" spans="1:11" ht="18" customHeight="1">
      <c r="A2520" s="568"/>
      <c r="B2520" s="601" t="s">
        <v>1091</v>
      </c>
      <c r="C2520" s="593" t="s">
        <v>1090</v>
      </c>
      <c r="D2520" s="578">
        <v>2</v>
      </c>
      <c r="E2520" s="579" t="s">
        <v>8</v>
      </c>
      <c r="F2520" s="569">
        <v>1</v>
      </c>
      <c r="G2520" s="590">
        <v>8.2010000000000005</v>
      </c>
      <c r="H2520" s="591"/>
      <c r="I2520" s="591">
        <v>0.6</v>
      </c>
      <c r="J2520" s="597">
        <f t="shared" si="255"/>
        <v>9.8412000000000006</v>
      </c>
      <c r="K2520" s="568"/>
    </row>
    <row r="2521" spans="1:11">
      <c r="A2521" s="568"/>
      <c r="B2521" s="593" t="s">
        <v>27</v>
      </c>
      <c r="C2521" s="577"/>
      <c r="G2521" s="612"/>
      <c r="H2521" s="598"/>
      <c r="I2521" s="598"/>
      <c r="J2521" s="598"/>
      <c r="K2521" s="581"/>
    </row>
    <row r="2522" spans="1:11">
      <c r="A2522" s="568"/>
      <c r="B2522" s="593" t="s">
        <v>645</v>
      </c>
      <c r="C2522" s="577"/>
      <c r="D2522" s="578">
        <v>1</v>
      </c>
      <c r="E2522" s="579" t="s">
        <v>8</v>
      </c>
      <c r="F2522" s="569">
        <v>1</v>
      </c>
      <c r="G2522" s="612">
        <v>29.2</v>
      </c>
      <c r="H2522" s="598"/>
      <c r="I2522" s="598">
        <v>4.6500000000000004</v>
      </c>
      <c r="J2522" s="598">
        <f t="shared" ref="J2522:J2523" si="256">ROUNDUP(PRODUCT(D2522:I2522),2)</f>
        <v>135.78</v>
      </c>
      <c r="K2522" s="581"/>
    </row>
    <row r="2523" spans="1:11">
      <c r="A2523" s="568"/>
      <c r="B2523" s="593" t="s">
        <v>646</v>
      </c>
      <c r="C2523" s="577"/>
      <c r="D2523" s="578">
        <v>1</v>
      </c>
      <c r="E2523" s="579" t="s">
        <v>8</v>
      </c>
      <c r="F2523" s="569">
        <v>1</v>
      </c>
      <c r="G2523" s="612">
        <v>22</v>
      </c>
      <c r="H2523" s="598"/>
      <c r="I2523" s="598">
        <v>4.6500000000000004</v>
      </c>
      <c r="J2523" s="598">
        <f t="shared" si="256"/>
        <v>102.3</v>
      </c>
      <c r="K2523" s="581"/>
    </row>
    <row r="2524" spans="1:11">
      <c r="A2524" s="568"/>
      <c r="B2524" s="593" t="s">
        <v>26</v>
      </c>
      <c r="C2524" s="577"/>
      <c r="G2524" s="612"/>
      <c r="H2524" s="598"/>
      <c r="I2524" s="598"/>
      <c r="J2524" s="591"/>
      <c r="K2524" s="581"/>
    </row>
    <row r="2525" spans="1:11">
      <c r="A2525" s="568"/>
      <c r="B2525" s="593" t="s">
        <v>1602</v>
      </c>
      <c r="C2525" s="577"/>
      <c r="D2525" s="578">
        <v>1</v>
      </c>
      <c r="E2525" s="579" t="s">
        <v>8</v>
      </c>
      <c r="F2525" s="569">
        <v>2</v>
      </c>
      <c r="G2525" s="612">
        <f>102.98</f>
        <v>102.98</v>
      </c>
      <c r="H2525" s="598"/>
      <c r="I2525" s="598">
        <v>1.2</v>
      </c>
      <c r="J2525" s="591">
        <f>PRODUCT(D2525:I2525)</f>
        <v>247.15199999999999</v>
      </c>
      <c r="K2525" s="581"/>
    </row>
    <row r="2526" spans="1:11">
      <c r="A2526" s="568"/>
      <c r="B2526" s="593" t="s">
        <v>1603</v>
      </c>
      <c r="C2526" s="577"/>
      <c r="D2526" s="578">
        <v>1</v>
      </c>
      <c r="E2526" s="579" t="s">
        <v>8</v>
      </c>
      <c r="F2526" s="569">
        <v>1</v>
      </c>
      <c r="G2526" s="612">
        <f>102.98</f>
        <v>102.98</v>
      </c>
      <c r="H2526" s="598"/>
      <c r="I2526" s="598">
        <v>0.2</v>
      </c>
      <c r="J2526" s="591">
        <f>PRODUCT(D2526:I2526)</f>
        <v>20.596000000000004</v>
      </c>
      <c r="K2526" s="581"/>
    </row>
    <row r="2527" spans="1:11">
      <c r="A2527" s="568"/>
      <c r="B2527" s="593" t="s">
        <v>1102</v>
      </c>
      <c r="C2527" s="589"/>
      <c r="D2527" s="578">
        <v>1</v>
      </c>
      <c r="E2527" s="579" t="s">
        <v>8</v>
      </c>
      <c r="F2527" s="569">
        <v>1</v>
      </c>
      <c r="G2527" s="590">
        <v>19.239999999999998</v>
      </c>
      <c r="H2527" s="591"/>
      <c r="I2527" s="591">
        <v>2.7</v>
      </c>
      <c r="J2527" s="598">
        <f t="shared" ref="J2527:J2529" si="257">ROUNDUP(PRODUCT(D2527:I2527),2)</f>
        <v>51.949999999999996</v>
      </c>
      <c r="K2527" s="592"/>
    </row>
    <row r="2528" spans="1:11">
      <c r="A2528" s="568"/>
      <c r="B2528" s="584" t="s">
        <v>1255</v>
      </c>
      <c r="C2528" s="589"/>
      <c r="G2528" s="590"/>
      <c r="H2528" s="591"/>
      <c r="I2528" s="591"/>
      <c r="J2528" s="598"/>
      <c r="K2528" s="592"/>
    </row>
    <row r="2529" spans="1:11">
      <c r="A2529" s="568"/>
      <c r="B2529" s="593" t="s">
        <v>1254</v>
      </c>
      <c r="C2529" s="577"/>
      <c r="D2529" s="578">
        <v>1</v>
      </c>
      <c r="E2529" s="579" t="s">
        <v>8</v>
      </c>
      <c r="F2529" s="569">
        <v>1</v>
      </c>
      <c r="G2529" s="612">
        <v>110.95</v>
      </c>
      <c r="H2529" s="598"/>
      <c r="I2529" s="598">
        <v>4.45</v>
      </c>
      <c r="J2529" s="598">
        <f t="shared" si="257"/>
        <v>493.73</v>
      </c>
      <c r="K2529" s="581"/>
    </row>
    <row r="2530" spans="1:11">
      <c r="A2530" s="568"/>
      <c r="B2530" s="593" t="s">
        <v>1599</v>
      </c>
      <c r="C2530" s="577"/>
      <c r="D2530" s="578">
        <v>1</v>
      </c>
      <c r="E2530" s="579" t="s">
        <v>8</v>
      </c>
      <c r="F2530" s="569">
        <v>1</v>
      </c>
      <c r="G2530" s="612">
        <v>115.15</v>
      </c>
      <c r="H2530" s="598"/>
      <c r="I2530" s="598">
        <v>10.199999999999999</v>
      </c>
      <c r="J2530" s="598">
        <f t="shared" ref="J2530" si="258">ROUNDUP(PRODUCT(D2530:I2530),2)</f>
        <v>1174.53</v>
      </c>
      <c r="K2530" s="581"/>
    </row>
    <row r="2531" spans="1:11">
      <c r="A2531" s="568"/>
      <c r="B2531" s="593" t="s">
        <v>1107</v>
      </c>
      <c r="C2531" s="577"/>
      <c r="D2531" s="578">
        <v>1</v>
      </c>
      <c r="E2531" s="579" t="s">
        <v>8</v>
      </c>
      <c r="F2531" s="569">
        <v>1</v>
      </c>
      <c r="G2531" s="612">
        <v>33.15</v>
      </c>
      <c r="H2531" s="598"/>
      <c r="I2531" s="598">
        <v>10.199999999999999</v>
      </c>
      <c r="J2531" s="598">
        <f t="shared" ref="J2531:J2532" si="259">ROUNDUP(PRODUCT(D2531:I2531),2)</f>
        <v>338.13</v>
      </c>
      <c r="K2531" s="581"/>
    </row>
    <row r="2532" spans="1:11">
      <c r="A2532" s="568"/>
      <c r="B2532" s="593" t="s">
        <v>1600</v>
      </c>
      <c r="C2532" s="577"/>
      <c r="D2532" s="578">
        <v>1</v>
      </c>
      <c r="E2532" s="579" t="s">
        <v>8</v>
      </c>
      <c r="F2532" s="569">
        <v>1</v>
      </c>
      <c r="G2532" s="612">
        <v>16.2</v>
      </c>
      <c r="H2532" s="598"/>
      <c r="I2532" s="598">
        <v>2.1</v>
      </c>
      <c r="J2532" s="598">
        <f t="shared" si="259"/>
        <v>34.020000000000003</v>
      </c>
      <c r="K2532" s="581"/>
    </row>
    <row r="2533" spans="1:11">
      <c r="A2533" s="568"/>
      <c r="B2533" s="593"/>
      <c r="C2533" s="577"/>
      <c r="G2533" s="612"/>
      <c r="H2533" s="598"/>
      <c r="I2533" s="598"/>
      <c r="J2533" s="598"/>
      <c r="K2533" s="581"/>
    </row>
    <row r="2534" spans="1:11" ht="16.5" customHeight="1">
      <c r="A2534" s="568"/>
      <c r="B2534" s="593" t="s">
        <v>17</v>
      </c>
      <c r="C2534" s="577"/>
      <c r="G2534" s="612"/>
      <c r="H2534" s="598"/>
      <c r="I2534" s="598"/>
      <c r="J2534" s="598"/>
      <c r="K2534" s="581"/>
    </row>
    <row r="2535" spans="1:11">
      <c r="A2535" s="568"/>
      <c r="B2535" s="593" t="s">
        <v>29</v>
      </c>
      <c r="C2535" s="577"/>
      <c r="D2535" s="578">
        <v>-1</v>
      </c>
      <c r="E2535" s="579" t="s">
        <v>8</v>
      </c>
      <c r="F2535" s="569">
        <v>4</v>
      </c>
      <c r="G2535" s="612">
        <v>1</v>
      </c>
      <c r="H2535" s="598"/>
      <c r="I2535" s="598">
        <v>2.1</v>
      </c>
      <c r="J2535" s="598">
        <f t="shared" ref="J2535:J2557" si="260">ROUNDUP(PRODUCT(D2535:I2535),2)</f>
        <v>-8.4</v>
      </c>
      <c r="K2535" s="581"/>
    </row>
    <row r="2536" spans="1:11">
      <c r="A2536" s="568"/>
      <c r="B2536" s="593" t="s">
        <v>579</v>
      </c>
      <c r="C2536" s="577"/>
      <c r="D2536" s="578">
        <v>-1</v>
      </c>
      <c r="E2536" s="579" t="s">
        <v>8</v>
      </c>
      <c r="F2536" s="569">
        <f>12+7*3</f>
        <v>33</v>
      </c>
      <c r="G2536" s="612">
        <v>1.5</v>
      </c>
      <c r="H2536" s="598"/>
      <c r="I2536" s="598">
        <v>1.2</v>
      </c>
      <c r="J2536" s="598">
        <f t="shared" si="260"/>
        <v>-59.4</v>
      </c>
      <c r="K2536" s="581"/>
    </row>
    <row r="2537" spans="1:11">
      <c r="A2537" s="568"/>
      <c r="B2537" s="593" t="s">
        <v>586</v>
      </c>
      <c r="C2537" s="577"/>
      <c r="D2537" s="578">
        <v>-1</v>
      </c>
      <c r="E2537" s="579" t="s">
        <v>8</v>
      </c>
      <c r="F2537" s="569">
        <f>2+8*3</f>
        <v>26</v>
      </c>
      <c r="G2537" s="612">
        <v>2.15</v>
      </c>
      <c r="H2537" s="598"/>
      <c r="I2537" s="598">
        <v>1.2</v>
      </c>
      <c r="J2537" s="598">
        <f t="shared" si="260"/>
        <v>-67.08</v>
      </c>
      <c r="K2537" s="581"/>
    </row>
    <row r="2538" spans="1:11">
      <c r="A2538" s="568"/>
      <c r="B2538" s="593" t="s">
        <v>587</v>
      </c>
      <c r="C2538" s="577"/>
      <c r="D2538" s="578">
        <v>-1</v>
      </c>
      <c r="E2538" s="579" t="s">
        <v>8</v>
      </c>
      <c r="F2538" s="569">
        <v>4</v>
      </c>
      <c r="G2538" s="612">
        <v>1.2</v>
      </c>
      <c r="H2538" s="598"/>
      <c r="I2538" s="598">
        <v>1.2</v>
      </c>
      <c r="J2538" s="598">
        <f t="shared" si="260"/>
        <v>-5.76</v>
      </c>
      <c r="K2538" s="581"/>
    </row>
    <row r="2539" spans="1:11">
      <c r="A2539" s="568"/>
      <c r="B2539" s="593" t="s">
        <v>1226</v>
      </c>
      <c r="C2539" s="577"/>
      <c r="D2539" s="578">
        <v>-1</v>
      </c>
      <c r="E2539" s="579" t="s">
        <v>8</v>
      </c>
      <c r="F2539" s="569">
        <f>2</f>
        <v>2</v>
      </c>
      <c r="G2539" s="612">
        <v>1.5</v>
      </c>
      <c r="H2539" s="598"/>
      <c r="I2539" s="598">
        <v>1.95</v>
      </c>
      <c r="J2539" s="598">
        <f t="shared" si="260"/>
        <v>-5.85</v>
      </c>
      <c r="K2539" s="581"/>
    </row>
    <row r="2540" spans="1:11">
      <c r="A2540" s="568"/>
      <c r="B2540" s="593" t="s">
        <v>1191</v>
      </c>
      <c r="C2540" s="577"/>
      <c r="D2540" s="578">
        <v>-1</v>
      </c>
      <c r="E2540" s="579" t="s">
        <v>8</v>
      </c>
      <c r="F2540" s="569">
        <v>1</v>
      </c>
      <c r="G2540" s="612">
        <v>2.15</v>
      </c>
      <c r="H2540" s="598"/>
      <c r="I2540" s="598">
        <v>0.9</v>
      </c>
      <c r="J2540" s="598">
        <f t="shared" si="260"/>
        <v>-1.94</v>
      </c>
      <c r="K2540" s="581"/>
    </row>
    <row r="2541" spans="1:11">
      <c r="A2541" s="568"/>
      <c r="B2541" s="593" t="s">
        <v>1192</v>
      </c>
      <c r="C2541" s="577"/>
      <c r="D2541" s="578">
        <v>-1</v>
      </c>
      <c r="E2541" s="579" t="s">
        <v>8</v>
      </c>
      <c r="F2541" s="569">
        <v>2</v>
      </c>
      <c r="G2541" s="612">
        <v>1.2</v>
      </c>
      <c r="H2541" s="598"/>
      <c r="I2541" s="598">
        <v>0.9</v>
      </c>
      <c r="J2541" s="598">
        <f t="shared" si="260"/>
        <v>-2.16</v>
      </c>
      <c r="K2541" s="581"/>
    </row>
    <row r="2542" spans="1:11">
      <c r="A2542" s="568"/>
      <c r="B2542" s="593" t="s">
        <v>1217</v>
      </c>
      <c r="C2542" s="577"/>
      <c r="D2542" s="578">
        <v>-1</v>
      </c>
      <c r="E2542" s="579" t="s">
        <v>8</v>
      </c>
      <c r="F2542" s="569">
        <f>2*4</f>
        <v>8</v>
      </c>
      <c r="G2542" s="612">
        <v>1.5</v>
      </c>
      <c r="H2542" s="598"/>
      <c r="I2542" s="598">
        <v>0.75</v>
      </c>
      <c r="J2542" s="598">
        <f t="shared" si="260"/>
        <v>-9</v>
      </c>
      <c r="K2542" s="581"/>
    </row>
    <row r="2543" spans="1:11">
      <c r="A2543" s="568"/>
      <c r="B2543" s="593" t="s">
        <v>580</v>
      </c>
      <c r="C2543" s="577"/>
      <c r="D2543" s="578">
        <v>-1</v>
      </c>
      <c r="E2543" s="579" t="s">
        <v>8</v>
      </c>
      <c r="F2543" s="569">
        <f>7+8*3</f>
        <v>31</v>
      </c>
      <c r="G2543" s="612">
        <v>0.6</v>
      </c>
      <c r="H2543" s="598"/>
      <c r="I2543" s="598">
        <v>0.75</v>
      </c>
      <c r="J2543" s="598">
        <f t="shared" si="260"/>
        <v>-13.95</v>
      </c>
      <c r="K2543" s="581"/>
    </row>
    <row r="2544" spans="1:11">
      <c r="A2544" s="568"/>
      <c r="B2544" s="593" t="s">
        <v>1601</v>
      </c>
      <c r="C2544" s="577"/>
      <c r="G2544" s="612"/>
      <c r="H2544" s="598"/>
      <c r="I2544" s="598"/>
      <c r="J2544" s="598"/>
      <c r="K2544" s="581"/>
    </row>
    <row r="2545" spans="1:11">
      <c r="A2545" s="568"/>
      <c r="B2545" s="593" t="s">
        <v>48</v>
      </c>
      <c r="C2545" s="577"/>
      <c r="D2545" s="578">
        <v>-1</v>
      </c>
      <c r="E2545" s="579" t="s">
        <v>8</v>
      </c>
      <c r="F2545" s="569">
        <v>6</v>
      </c>
      <c r="G2545" s="612">
        <v>1.5</v>
      </c>
      <c r="H2545" s="598"/>
      <c r="I2545" s="598">
        <v>1.9</v>
      </c>
      <c r="J2545" s="598">
        <f t="shared" si="260"/>
        <v>-17.100000000000001</v>
      </c>
      <c r="K2545" s="576"/>
    </row>
    <row r="2546" spans="1:11">
      <c r="A2546" s="568"/>
      <c r="B2546" s="593"/>
      <c r="C2546" s="577"/>
      <c r="D2546" s="578">
        <v>-1</v>
      </c>
      <c r="E2546" s="579" t="s">
        <v>8</v>
      </c>
      <c r="F2546" s="569">
        <v>1</v>
      </c>
      <c r="G2546" s="612">
        <v>3.4</v>
      </c>
      <c r="H2546" s="598"/>
      <c r="I2546" s="598">
        <v>1.9</v>
      </c>
      <c r="J2546" s="598">
        <f t="shared" si="260"/>
        <v>-6.46</v>
      </c>
      <c r="K2546" s="576"/>
    </row>
    <row r="2547" spans="1:11">
      <c r="A2547" s="568"/>
      <c r="B2547" s="593" t="s">
        <v>1330</v>
      </c>
      <c r="C2547" s="577"/>
      <c r="D2547" s="578">
        <v>-1</v>
      </c>
      <c r="E2547" s="579" t="s">
        <v>8</v>
      </c>
      <c r="F2547" s="569">
        <v>2</v>
      </c>
      <c r="G2547" s="612">
        <v>3.4</v>
      </c>
      <c r="H2547" s="598"/>
      <c r="I2547" s="598">
        <v>1.9</v>
      </c>
      <c r="J2547" s="598">
        <f t="shared" si="260"/>
        <v>-12.92</v>
      </c>
      <c r="K2547" s="576"/>
    </row>
    <row r="2548" spans="1:11">
      <c r="A2548" s="568"/>
      <c r="B2548" s="593"/>
      <c r="C2548" s="577"/>
      <c r="D2548" s="578">
        <v>-1</v>
      </c>
      <c r="E2548" s="579" t="s">
        <v>8</v>
      </c>
      <c r="F2548" s="569">
        <v>2</v>
      </c>
      <c r="G2548" s="612">
        <v>3.8</v>
      </c>
      <c r="H2548" s="598"/>
      <c r="I2548" s="598">
        <v>1.9</v>
      </c>
      <c r="J2548" s="598">
        <f t="shared" si="260"/>
        <v>-14.44</v>
      </c>
      <c r="K2548" s="576"/>
    </row>
    <row r="2549" spans="1:11">
      <c r="A2549" s="568"/>
      <c r="B2549" s="593" t="s">
        <v>1107</v>
      </c>
      <c r="C2549" s="577"/>
      <c r="D2549" s="578">
        <v>-1</v>
      </c>
      <c r="E2549" s="579" t="s">
        <v>8</v>
      </c>
      <c r="F2549" s="569">
        <v>4</v>
      </c>
      <c r="G2549" s="612">
        <v>1.5</v>
      </c>
      <c r="H2549" s="598"/>
      <c r="I2549" s="598">
        <v>1.9</v>
      </c>
      <c r="J2549" s="598">
        <f t="shared" si="260"/>
        <v>-11.4</v>
      </c>
      <c r="K2549" s="576"/>
    </row>
    <row r="2550" spans="1:11">
      <c r="A2550" s="568"/>
      <c r="B2550" s="593"/>
      <c r="C2550" s="577"/>
      <c r="D2550" s="578">
        <v>-1</v>
      </c>
      <c r="E2550" s="579" t="s">
        <v>8</v>
      </c>
      <c r="F2550" s="569">
        <v>1</v>
      </c>
      <c r="G2550" s="612">
        <v>2.95</v>
      </c>
      <c r="H2550" s="598"/>
      <c r="I2550" s="598">
        <v>1.9</v>
      </c>
      <c r="J2550" s="598">
        <f t="shared" si="260"/>
        <v>-5.6099999999999994</v>
      </c>
      <c r="K2550" s="576"/>
    </row>
    <row r="2551" spans="1:11">
      <c r="A2551" s="568"/>
      <c r="B2551" s="593"/>
      <c r="C2551" s="577"/>
      <c r="D2551" s="578">
        <v>-1</v>
      </c>
      <c r="E2551" s="579" t="s">
        <v>8</v>
      </c>
      <c r="F2551" s="569">
        <v>1</v>
      </c>
      <c r="G2551" s="612">
        <v>3.4</v>
      </c>
      <c r="H2551" s="598"/>
      <c r="I2551" s="598">
        <v>1.9</v>
      </c>
      <c r="J2551" s="598">
        <f t="shared" si="260"/>
        <v>-6.46</v>
      </c>
      <c r="K2551" s="576"/>
    </row>
    <row r="2552" spans="1:11">
      <c r="A2552" s="568"/>
      <c r="B2552" s="593"/>
      <c r="C2552" s="577"/>
      <c r="D2552" s="578">
        <v>-1</v>
      </c>
      <c r="E2552" s="579" t="s">
        <v>8</v>
      </c>
      <c r="F2552" s="569">
        <v>1</v>
      </c>
      <c r="G2552" s="612">
        <v>3.8</v>
      </c>
      <c r="H2552" s="598"/>
      <c r="I2552" s="598">
        <v>1.9</v>
      </c>
      <c r="J2552" s="598">
        <f t="shared" si="260"/>
        <v>-7.22</v>
      </c>
      <c r="K2552" s="576"/>
    </row>
    <row r="2553" spans="1:11">
      <c r="A2553" s="568"/>
      <c r="B2553" s="593"/>
      <c r="C2553" s="577"/>
      <c r="D2553" s="578">
        <v>-1</v>
      </c>
      <c r="E2553" s="579" t="s">
        <v>8</v>
      </c>
      <c r="F2553" s="569">
        <v>1</v>
      </c>
      <c r="G2553" s="612">
        <v>3</v>
      </c>
      <c r="H2553" s="598"/>
      <c r="I2553" s="598">
        <v>1.9</v>
      </c>
      <c r="J2553" s="598">
        <f t="shared" si="260"/>
        <v>-5.7</v>
      </c>
      <c r="K2553" s="576"/>
    </row>
    <row r="2554" spans="1:11">
      <c r="A2554" s="568"/>
      <c r="B2554" s="593" t="s">
        <v>1331</v>
      </c>
      <c r="C2554" s="577"/>
      <c r="D2554" s="578">
        <v>-2</v>
      </c>
      <c r="E2554" s="579" t="s">
        <v>8</v>
      </c>
      <c r="F2554" s="569">
        <v>2</v>
      </c>
      <c r="G2554" s="612">
        <v>3</v>
      </c>
      <c r="H2554" s="598"/>
      <c r="I2554" s="598">
        <v>1.9</v>
      </c>
      <c r="J2554" s="598">
        <f t="shared" si="260"/>
        <v>-22.8</v>
      </c>
      <c r="K2554" s="576"/>
    </row>
    <row r="2555" spans="1:11">
      <c r="A2555" s="568"/>
      <c r="B2555" s="593"/>
      <c r="C2555" s="577"/>
      <c r="D2555" s="578">
        <v>-2</v>
      </c>
      <c r="E2555" s="579" t="s">
        <v>8</v>
      </c>
      <c r="F2555" s="569">
        <v>1</v>
      </c>
      <c r="G2555" s="612">
        <v>3.4</v>
      </c>
      <c r="H2555" s="598"/>
      <c r="I2555" s="598">
        <v>1.9</v>
      </c>
      <c r="J2555" s="598">
        <f t="shared" si="260"/>
        <v>-12.92</v>
      </c>
      <c r="K2555" s="576"/>
    </row>
    <row r="2556" spans="1:11">
      <c r="A2556" s="568"/>
      <c r="B2556" s="593"/>
      <c r="C2556" s="577"/>
      <c r="D2556" s="578">
        <v>-2</v>
      </c>
      <c r="E2556" s="579" t="s">
        <v>8</v>
      </c>
      <c r="F2556" s="569">
        <v>1</v>
      </c>
      <c r="G2556" s="612">
        <v>3.8</v>
      </c>
      <c r="H2556" s="598"/>
      <c r="I2556" s="598">
        <v>1.9</v>
      </c>
      <c r="J2556" s="598">
        <f t="shared" si="260"/>
        <v>-14.44</v>
      </c>
      <c r="K2556" s="576"/>
    </row>
    <row r="2557" spans="1:11">
      <c r="A2557" s="568"/>
      <c r="B2557" s="593"/>
      <c r="C2557" s="577"/>
      <c r="D2557" s="578">
        <v>-2</v>
      </c>
      <c r="E2557" s="579" t="s">
        <v>8</v>
      </c>
      <c r="F2557" s="569">
        <v>2</v>
      </c>
      <c r="G2557" s="612">
        <v>1.5</v>
      </c>
      <c r="H2557" s="598"/>
      <c r="I2557" s="598">
        <v>1.9</v>
      </c>
      <c r="J2557" s="598">
        <f t="shared" si="260"/>
        <v>-11.4</v>
      </c>
      <c r="K2557" s="576"/>
    </row>
    <row r="2558" spans="1:11">
      <c r="A2558" s="568"/>
      <c r="B2558" s="584" t="s">
        <v>61</v>
      </c>
      <c r="C2558" s="589"/>
      <c r="G2558" s="590"/>
      <c r="H2558" s="591"/>
      <c r="I2558" s="591"/>
      <c r="J2558" s="591"/>
      <c r="K2558" s="592"/>
    </row>
    <row r="2559" spans="1:11">
      <c r="A2559" s="568"/>
      <c r="B2559" s="593" t="s">
        <v>12</v>
      </c>
      <c r="C2559" s="589"/>
      <c r="G2559" s="590"/>
      <c r="H2559" s="591"/>
      <c r="I2559" s="591"/>
      <c r="J2559" s="591"/>
      <c r="K2559" s="592"/>
    </row>
    <row r="2560" spans="1:11">
      <c r="A2560" s="568"/>
      <c r="B2560" s="593" t="s">
        <v>647</v>
      </c>
      <c r="C2560" s="589"/>
      <c r="D2560" s="578">
        <v>1</v>
      </c>
      <c r="E2560" s="579" t="s">
        <v>8</v>
      </c>
      <c r="F2560" s="569">
        <v>12</v>
      </c>
      <c r="G2560" s="590">
        <f>1.5+0.2+0.2</f>
        <v>1.9</v>
      </c>
      <c r="H2560" s="591">
        <v>0.6</v>
      </c>
      <c r="I2560" s="591"/>
      <c r="J2560" s="591">
        <f t="shared" ref="J2560:J2567" si="261">PRODUCT(D2560:I2560)</f>
        <v>13.679999999999998</v>
      </c>
      <c r="K2560" s="592"/>
    </row>
    <row r="2561" spans="1:11">
      <c r="A2561" s="568"/>
      <c r="B2561" s="593"/>
      <c r="C2561" s="589"/>
      <c r="D2561" s="578">
        <v>1</v>
      </c>
      <c r="E2561" s="579" t="s">
        <v>8</v>
      </c>
      <c r="F2561" s="569">
        <v>12</v>
      </c>
      <c r="G2561" s="590">
        <f>1.9+0.45+0.45</f>
        <v>2.8000000000000003</v>
      </c>
      <c r="H2561" s="591"/>
      <c r="I2561" s="591">
        <v>0.1</v>
      </c>
      <c r="J2561" s="591">
        <f t="shared" si="261"/>
        <v>3.3600000000000003</v>
      </c>
      <c r="K2561" s="592"/>
    </row>
    <row r="2562" spans="1:11">
      <c r="A2562" s="568"/>
      <c r="B2562" s="593" t="s">
        <v>586</v>
      </c>
      <c r="C2562" s="589"/>
      <c r="D2562" s="578">
        <v>1</v>
      </c>
      <c r="E2562" s="579" t="s">
        <v>8</v>
      </c>
      <c r="F2562" s="569">
        <v>2</v>
      </c>
      <c r="G2562" s="590">
        <f>2.15+0.2+0.2</f>
        <v>2.5500000000000003</v>
      </c>
      <c r="H2562" s="591">
        <v>0.6</v>
      </c>
      <c r="I2562" s="591"/>
      <c r="J2562" s="591">
        <f t="shared" si="261"/>
        <v>3.06</v>
      </c>
      <c r="K2562" s="592"/>
    </row>
    <row r="2563" spans="1:11">
      <c r="A2563" s="568"/>
      <c r="B2563" s="593"/>
      <c r="C2563" s="589"/>
      <c r="D2563" s="578">
        <v>1</v>
      </c>
      <c r="E2563" s="579" t="s">
        <v>8</v>
      </c>
      <c r="F2563" s="569">
        <v>2</v>
      </c>
      <c r="G2563" s="590">
        <f>2.15+0.2+0.2</f>
        <v>2.5500000000000003</v>
      </c>
      <c r="H2563" s="591"/>
      <c r="I2563" s="591">
        <v>0.1</v>
      </c>
      <c r="J2563" s="591">
        <f t="shared" si="261"/>
        <v>0.51000000000000012</v>
      </c>
      <c r="K2563" s="592"/>
    </row>
    <row r="2564" spans="1:11">
      <c r="A2564" s="568"/>
      <c r="B2564" s="593" t="s">
        <v>1191</v>
      </c>
      <c r="C2564" s="589"/>
      <c r="D2564" s="578">
        <v>1</v>
      </c>
      <c r="E2564" s="579" t="s">
        <v>8</v>
      </c>
      <c r="F2564" s="569">
        <v>1</v>
      </c>
      <c r="G2564" s="590">
        <f>2.15+0.2+0.2</f>
        <v>2.5500000000000003</v>
      </c>
      <c r="H2564" s="591">
        <v>0.6</v>
      </c>
      <c r="I2564" s="591"/>
      <c r="J2564" s="591">
        <f t="shared" si="261"/>
        <v>1.53</v>
      </c>
      <c r="K2564" s="592"/>
    </row>
    <row r="2565" spans="1:11">
      <c r="A2565" s="568"/>
      <c r="B2565" s="593"/>
      <c r="C2565" s="589"/>
      <c r="D2565" s="578">
        <v>1</v>
      </c>
      <c r="E2565" s="579" t="s">
        <v>8</v>
      </c>
      <c r="F2565" s="569">
        <v>1</v>
      </c>
      <c r="G2565" s="590">
        <f>2.55+0.45+0.45</f>
        <v>3.45</v>
      </c>
      <c r="H2565" s="591"/>
      <c r="I2565" s="591">
        <v>0.1</v>
      </c>
      <c r="J2565" s="591">
        <f t="shared" si="261"/>
        <v>0.34500000000000003</v>
      </c>
      <c r="K2565" s="592"/>
    </row>
    <row r="2566" spans="1:11">
      <c r="A2566" s="568"/>
      <c r="B2566" s="593" t="s">
        <v>1192</v>
      </c>
      <c r="C2566" s="589"/>
      <c r="D2566" s="578">
        <v>1</v>
      </c>
      <c r="E2566" s="579" t="s">
        <v>8</v>
      </c>
      <c r="F2566" s="569">
        <v>2</v>
      </c>
      <c r="G2566" s="569">
        <f>1.2+0.2+0.2</f>
        <v>1.5999999999999999</v>
      </c>
      <c r="H2566" s="591">
        <v>0.6</v>
      </c>
      <c r="I2566" s="591"/>
      <c r="J2566" s="591">
        <f t="shared" si="261"/>
        <v>1.9199999999999997</v>
      </c>
      <c r="K2566" s="592"/>
    </row>
    <row r="2567" spans="1:11">
      <c r="A2567" s="568"/>
      <c r="B2567" s="593"/>
      <c r="C2567" s="589"/>
      <c r="D2567" s="578">
        <v>1</v>
      </c>
      <c r="E2567" s="579" t="s">
        <v>8</v>
      </c>
      <c r="F2567" s="569">
        <v>2</v>
      </c>
      <c r="G2567" s="590">
        <f>16+0.45+0.45</f>
        <v>16.899999999999999</v>
      </c>
      <c r="H2567" s="591"/>
      <c r="I2567" s="591">
        <v>0.1</v>
      </c>
      <c r="J2567" s="591">
        <f t="shared" si="261"/>
        <v>3.38</v>
      </c>
      <c r="K2567" s="592"/>
    </row>
    <row r="2568" spans="1:11">
      <c r="A2568" s="568"/>
      <c r="B2568" s="593" t="s">
        <v>1256</v>
      </c>
      <c r="C2568" s="589"/>
      <c r="G2568" s="590"/>
      <c r="H2568" s="591"/>
      <c r="I2568" s="591"/>
      <c r="J2568" s="591"/>
      <c r="K2568" s="592"/>
    </row>
    <row r="2569" spans="1:11">
      <c r="A2569" s="568"/>
      <c r="B2569" s="593" t="s">
        <v>647</v>
      </c>
      <c r="C2569" s="589"/>
      <c r="D2569" s="578">
        <v>1</v>
      </c>
      <c r="E2569" s="579" t="s">
        <v>8</v>
      </c>
      <c r="F2569" s="569">
        <f>7*3</f>
        <v>21</v>
      </c>
      <c r="G2569" s="590">
        <f>1.5+0.2+0.2</f>
        <v>1.9</v>
      </c>
      <c r="H2569" s="591">
        <v>0.6</v>
      </c>
      <c r="I2569" s="591"/>
      <c r="J2569" s="591">
        <f t="shared" ref="J2569:J2572" si="262">PRODUCT(D2569:I2569)</f>
        <v>23.939999999999998</v>
      </c>
      <c r="K2569" s="592"/>
    </row>
    <row r="2570" spans="1:11">
      <c r="A2570" s="568"/>
      <c r="B2570" s="593"/>
      <c r="C2570" s="589"/>
      <c r="D2570" s="578">
        <v>1</v>
      </c>
      <c r="E2570" s="579" t="s">
        <v>8</v>
      </c>
      <c r="F2570" s="569">
        <f>7*3</f>
        <v>21</v>
      </c>
      <c r="G2570" s="590">
        <f>1.9+0.45+0.45</f>
        <v>2.8000000000000003</v>
      </c>
      <c r="H2570" s="591"/>
      <c r="I2570" s="591">
        <v>0.1</v>
      </c>
      <c r="J2570" s="591">
        <f t="shared" si="262"/>
        <v>5.8800000000000008</v>
      </c>
      <c r="K2570" s="592"/>
    </row>
    <row r="2571" spans="1:11">
      <c r="A2571" s="568"/>
      <c r="B2571" s="593" t="s">
        <v>586</v>
      </c>
      <c r="C2571" s="589"/>
      <c r="D2571" s="578">
        <v>1</v>
      </c>
      <c r="E2571" s="579" t="s">
        <v>8</v>
      </c>
      <c r="F2571" s="569">
        <f>8*3</f>
        <v>24</v>
      </c>
      <c r="G2571" s="590">
        <f>2.15+0.2+0.2</f>
        <v>2.5500000000000003</v>
      </c>
      <c r="H2571" s="591">
        <v>0.6</v>
      </c>
      <c r="I2571" s="591"/>
      <c r="J2571" s="591">
        <f t="shared" si="262"/>
        <v>36.72</v>
      </c>
      <c r="K2571" s="592"/>
    </row>
    <row r="2572" spans="1:11">
      <c r="A2572" s="568"/>
      <c r="B2572" s="593"/>
      <c r="C2572" s="589"/>
      <c r="D2572" s="578">
        <v>1</v>
      </c>
      <c r="E2572" s="579" t="s">
        <v>8</v>
      </c>
      <c r="F2572" s="569">
        <f>8*3</f>
        <v>24</v>
      </c>
      <c r="G2572" s="590">
        <f>2.55+0.45+0.45</f>
        <v>3.45</v>
      </c>
      <c r="H2572" s="591"/>
      <c r="I2572" s="591">
        <v>0.1</v>
      </c>
      <c r="J2572" s="591">
        <f t="shared" si="262"/>
        <v>8.2800000000000011</v>
      </c>
      <c r="K2572" s="592"/>
    </row>
    <row r="2573" spans="1:11">
      <c r="A2573" s="568"/>
      <c r="B2573" s="593" t="s">
        <v>60</v>
      </c>
      <c r="C2573" s="589"/>
      <c r="G2573" s="590"/>
      <c r="H2573" s="591"/>
      <c r="I2573" s="591"/>
      <c r="J2573" s="591"/>
      <c r="K2573" s="592"/>
    </row>
    <row r="2574" spans="1:11">
      <c r="A2574" s="568"/>
      <c r="B2574" s="593" t="s">
        <v>587</v>
      </c>
      <c r="C2574" s="589"/>
      <c r="D2574" s="578">
        <v>1</v>
      </c>
      <c r="E2574" s="579" t="s">
        <v>8</v>
      </c>
      <c r="F2574" s="569">
        <v>4</v>
      </c>
      <c r="G2574" s="590">
        <f>1.2+0.2+0.2</f>
        <v>1.5999999999999999</v>
      </c>
      <c r="H2574" s="591">
        <v>0.6</v>
      </c>
      <c r="I2574" s="591"/>
      <c r="J2574" s="591">
        <f t="shared" ref="J2574:J2577" si="263">PRODUCT(D2574:I2574)</f>
        <v>3.8399999999999994</v>
      </c>
      <c r="K2574" s="592"/>
    </row>
    <row r="2575" spans="1:11">
      <c r="A2575" s="568"/>
      <c r="B2575" s="593"/>
      <c r="C2575" s="589"/>
      <c r="D2575" s="578">
        <v>1</v>
      </c>
      <c r="E2575" s="579" t="s">
        <v>8</v>
      </c>
      <c r="F2575" s="569">
        <v>4</v>
      </c>
      <c r="G2575" s="590">
        <f>1.6+0.45+0.45</f>
        <v>2.5000000000000004</v>
      </c>
      <c r="H2575" s="591"/>
      <c r="I2575" s="591">
        <v>0.1</v>
      </c>
      <c r="J2575" s="591">
        <f t="shared" si="263"/>
        <v>1.0000000000000002</v>
      </c>
      <c r="K2575" s="592"/>
    </row>
    <row r="2576" spans="1:11">
      <c r="A2576" s="568"/>
      <c r="B2576" s="593" t="s">
        <v>29</v>
      </c>
      <c r="C2576" s="589"/>
      <c r="D2576" s="578">
        <v>1</v>
      </c>
      <c r="E2576" s="579" t="s">
        <v>8</v>
      </c>
      <c r="F2576" s="569">
        <v>4</v>
      </c>
      <c r="G2576" s="590">
        <f>1+0.2+0.2</f>
        <v>1.4</v>
      </c>
      <c r="H2576" s="591">
        <v>0.6</v>
      </c>
      <c r="I2576" s="591"/>
      <c r="J2576" s="591">
        <f t="shared" si="263"/>
        <v>3.36</v>
      </c>
      <c r="K2576" s="592"/>
    </row>
    <row r="2577" spans="1:11">
      <c r="A2577" s="568"/>
      <c r="B2577" s="593"/>
      <c r="C2577" s="589"/>
      <c r="D2577" s="578">
        <v>1</v>
      </c>
      <c r="E2577" s="579" t="s">
        <v>8</v>
      </c>
      <c r="F2577" s="569">
        <v>4</v>
      </c>
      <c r="G2577" s="590">
        <f>1.4+0.45+0.45</f>
        <v>2.2999999999999998</v>
      </c>
      <c r="H2577" s="591"/>
      <c r="I2577" s="591">
        <v>0.1</v>
      </c>
      <c r="J2577" s="591">
        <f t="shared" si="263"/>
        <v>0.91999999999999993</v>
      </c>
      <c r="K2577" s="592"/>
    </row>
    <row r="2578" spans="1:11">
      <c r="A2578" s="568"/>
      <c r="B2578" s="581" t="s">
        <v>1348</v>
      </c>
      <c r="C2578" s="599"/>
      <c r="G2578" s="618"/>
      <c r="H2578" s="618"/>
      <c r="I2578" s="618"/>
      <c r="J2578" s="605"/>
      <c r="K2578" s="592"/>
    </row>
    <row r="2579" spans="1:11">
      <c r="A2579" s="568"/>
      <c r="B2579" s="593" t="s">
        <v>1334</v>
      </c>
      <c r="C2579" s="599"/>
      <c r="D2579" s="578">
        <v>2</v>
      </c>
      <c r="E2579" s="579" t="s">
        <v>8</v>
      </c>
      <c r="F2579" s="569">
        <v>1</v>
      </c>
      <c r="G2579" s="618">
        <f>0.2+2.5+0.2+2+0.2+1.13+1.94+0.63</f>
        <v>8.8000000000000007</v>
      </c>
      <c r="H2579" s="618"/>
      <c r="I2579" s="618">
        <f>3+0.3</f>
        <v>3.3</v>
      </c>
      <c r="J2579" s="597">
        <f t="shared" ref="J2579:J2580" si="264">PRODUCT(D2579:I2579)</f>
        <v>58.08</v>
      </c>
      <c r="K2579" s="592"/>
    </row>
    <row r="2580" spans="1:11">
      <c r="A2580" s="568"/>
      <c r="B2580" s="593" t="s">
        <v>13</v>
      </c>
      <c r="C2580" s="599"/>
      <c r="D2580" s="578">
        <v>1</v>
      </c>
      <c r="E2580" s="579" t="s">
        <v>8</v>
      </c>
      <c r="F2580" s="569">
        <v>1</v>
      </c>
      <c r="G2580" s="618">
        <f>0.2+2+0.2+1.2+0.2+0.2+1.2</f>
        <v>5.2000000000000011</v>
      </c>
      <c r="H2580" s="618"/>
      <c r="I2580" s="618">
        <f>3+0.3</f>
        <v>3.3</v>
      </c>
      <c r="J2580" s="597">
        <f t="shared" si="264"/>
        <v>17.160000000000004</v>
      </c>
      <c r="K2580" s="592"/>
    </row>
    <row r="2581" spans="1:11">
      <c r="A2581" s="568"/>
      <c r="B2581" s="593" t="s">
        <v>17</v>
      </c>
      <c r="C2581" s="599"/>
      <c r="G2581" s="618"/>
      <c r="H2581" s="618"/>
      <c r="I2581" s="618"/>
      <c r="J2581" s="605"/>
      <c r="K2581" s="592"/>
    </row>
    <row r="2582" spans="1:11">
      <c r="A2582" s="568"/>
      <c r="B2582" s="593" t="s">
        <v>587</v>
      </c>
      <c r="C2582" s="599"/>
      <c r="D2582" s="578">
        <f>-2</f>
        <v>-2</v>
      </c>
      <c r="E2582" s="579" t="s">
        <v>8</v>
      </c>
      <c r="F2582" s="569">
        <v>1</v>
      </c>
      <c r="G2582" s="618">
        <v>1.2</v>
      </c>
      <c r="H2582" s="618"/>
      <c r="I2582" s="618">
        <v>1.2</v>
      </c>
      <c r="J2582" s="597">
        <f t="shared" ref="J2582:J2584" si="265">PRODUCT(D2582:I2582)</f>
        <v>-2.88</v>
      </c>
      <c r="K2582" s="592"/>
    </row>
    <row r="2583" spans="1:11">
      <c r="A2583" s="568"/>
      <c r="B2583" s="656" t="s">
        <v>903</v>
      </c>
      <c r="C2583" s="599"/>
      <c r="D2583" s="578">
        <f t="shared" ref="D2583:D2584" si="266">-2</f>
        <v>-2</v>
      </c>
      <c r="E2583" s="579" t="s">
        <v>8</v>
      </c>
      <c r="F2583" s="569">
        <v>1</v>
      </c>
      <c r="G2583" s="618">
        <v>0.75</v>
      </c>
      <c r="H2583" s="618"/>
      <c r="I2583" s="618">
        <v>2.1</v>
      </c>
      <c r="J2583" s="597">
        <f t="shared" si="265"/>
        <v>-3.1500000000000004</v>
      </c>
      <c r="K2583" s="592"/>
    </row>
    <row r="2584" spans="1:11">
      <c r="A2584" s="568"/>
      <c r="B2584" s="593" t="s">
        <v>580</v>
      </c>
      <c r="C2584" s="599"/>
      <c r="D2584" s="578">
        <f t="shared" si="266"/>
        <v>-2</v>
      </c>
      <c r="E2584" s="579" t="s">
        <v>8</v>
      </c>
      <c r="F2584" s="569">
        <v>1</v>
      </c>
      <c r="G2584" s="618">
        <v>0.6</v>
      </c>
      <c r="H2584" s="618"/>
      <c r="I2584" s="618">
        <v>0.75</v>
      </c>
      <c r="J2584" s="597">
        <f t="shared" si="265"/>
        <v>-0.89999999999999991</v>
      </c>
      <c r="K2584" s="592"/>
    </row>
    <row r="2585" spans="1:11">
      <c r="A2585" s="568"/>
      <c r="B2585" s="581" t="s">
        <v>1380</v>
      </c>
      <c r="C2585" s="606"/>
      <c r="G2585" s="674"/>
      <c r="H2585" s="674"/>
      <c r="I2585" s="648"/>
      <c r="J2585" s="607"/>
      <c r="K2585" s="592"/>
    </row>
    <row r="2586" spans="1:11">
      <c r="A2586" s="568"/>
      <c r="B2586" s="593" t="s">
        <v>1381</v>
      </c>
      <c r="C2586" s="606"/>
      <c r="D2586" s="578">
        <v>1</v>
      </c>
      <c r="E2586" s="579" t="s">
        <v>8</v>
      </c>
      <c r="F2586" s="569">
        <v>1</v>
      </c>
      <c r="G2586" s="618">
        <f>(10.11+4)*2</f>
        <v>28.22</v>
      </c>
      <c r="H2586" s="618"/>
      <c r="I2586" s="618">
        <v>1</v>
      </c>
      <c r="J2586" s="597">
        <f t="shared" ref="J2586:J2587" si="267">PRODUCT(D2586:I2586)</f>
        <v>28.22</v>
      </c>
      <c r="K2586" s="592"/>
    </row>
    <row r="2587" spans="1:11">
      <c r="A2587" s="568"/>
      <c r="B2587" s="593" t="s">
        <v>1382</v>
      </c>
      <c r="C2587" s="606"/>
      <c r="D2587" s="578">
        <v>1</v>
      </c>
      <c r="E2587" s="579" t="s">
        <v>8</v>
      </c>
      <c r="F2587" s="569">
        <v>1</v>
      </c>
      <c r="G2587" s="618">
        <v>10.11</v>
      </c>
      <c r="H2587" s="618">
        <v>4</v>
      </c>
      <c r="I2587" s="618"/>
      <c r="J2587" s="597">
        <f t="shared" si="267"/>
        <v>40.44</v>
      </c>
      <c r="K2587" s="592"/>
    </row>
    <row r="2588" spans="1:11">
      <c r="A2588" s="568"/>
      <c r="B2588" s="593" t="s">
        <v>1385</v>
      </c>
      <c r="C2588" s="606"/>
      <c r="D2588" s="578">
        <v>1</v>
      </c>
      <c r="E2588" s="579" t="s">
        <v>8</v>
      </c>
      <c r="F2588" s="569">
        <v>1</v>
      </c>
      <c r="G2588" s="618">
        <f>2.2+2.2+4+4</f>
        <v>12.4</v>
      </c>
      <c r="H2588" s="618"/>
      <c r="I2588" s="618">
        <v>3.1</v>
      </c>
      <c r="J2588" s="597">
        <f t="shared" ref="J2588" si="268">PRODUCT(D2588:I2588)</f>
        <v>38.440000000000005</v>
      </c>
      <c r="K2588" s="592"/>
    </row>
    <row r="2589" spans="1:11">
      <c r="A2589" s="568"/>
      <c r="B2589" s="593" t="s">
        <v>1386</v>
      </c>
      <c r="C2589" s="599"/>
      <c r="G2589" s="675"/>
      <c r="H2589" s="675"/>
      <c r="I2589" s="675"/>
      <c r="J2589" s="599"/>
      <c r="K2589" s="592"/>
    </row>
    <row r="2590" spans="1:11">
      <c r="A2590" s="568"/>
      <c r="B2590" s="593" t="s">
        <v>1387</v>
      </c>
      <c r="C2590" s="599"/>
      <c r="D2590" s="578">
        <v>1</v>
      </c>
      <c r="E2590" s="579" t="s">
        <v>8</v>
      </c>
      <c r="F2590" s="569">
        <v>1</v>
      </c>
      <c r="G2590" s="618">
        <f>10.3+10.3+3.5+3.5</f>
        <v>27.6</v>
      </c>
      <c r="H2590" s="618"/>
      <c r="I2590" s="618">
        <v>0.4</v>
      </c>
      <c r="J2590" s="597">
        <f>PRODUCT(D2590:I2590)</f>
        <v>11.040000000000001</v>
      </c>
      <c r="K2590" s="592"/>
    </row>
    <row r="2591" spans="1:11">
      <c r="A2591" s="568"/>
      <c r="B2591" s="593" t="s">
        <v>1388</v>
      </c>
      <c r="C2591" s="599"/>
      <c r="D2591" s="578">
        <v>1</v>
      </c>
      <c r="E2591" s="579" t="s">
        <v>8</v>
      </c>
      <c r="F2591" s="569">
        <v>1</v>
      </c>
      <c r="G2591" s="618">
        <v>10.3</v>
      </c>
      <c r="H2591" s="618">
        <v>3.5</v>
      </c>
      <c r="I2591" s="618"/>
      <c r="J2591" s="597">
        <f>PRODUCT(D2591:I2591)</f>
        <v>36.050000000000004</v>
      </c>
      <c r="K2591" s="592"/>
    </row>
    <row r="2592" spans="1:11">
      <c r="A2592" s="568"/>
      <c r="B2592" s="593" t="s">
        <v>1390</v>
      </c>
      <c r="C2592" s="599"/>
      <c r="D2592" s="578">
        <v>1</v>
      </c>
      <c r="E2592" s="579" t="s">
        <v>8</v>
      </c>
      <c r="F2592" s="569">
        <v>2</v>
      </c>
      <c r="G2592" s="618">
        <v>7.3</v>
      </c>
      <c r="H2592" s="618"/>
      <c r="I2592" s="618">
        <f>0.6+0.45</f>
        <v>1.05</v>
      </c>
      <c r="J2592" s="597">
        <f t="shared" ref="J2592" si="269">PRODUCT(D2592:I2592)</f>
        <v>15.33</v>
      </c>
      <c r="K2592" s="592"/>
    </row>
    <row r="2593" spans="1:11">
      <c r="A2593" s="568"/>
      <c r="B2593" s="584" t="s">
        <v>609</v>
      </c>
      <c r="C2593" s="589"/>
      <c r="G2593" s="590"/>
      <c r="H2593" s="591"/>
      <c r="I2593" s="591"/>
      <c r="J2593" s="591"/>
      <c r="K2593" s="592"/>
    </row>
    <row r="2594" spans="1:11">
      <c r="A2594" s="568"/>
      <c r="B2594" s="593" t="s">
        <v>12</v>
      </c>
      <c r="C2594" s="599"/>
      <c r="G2594" s="675"/>
      <c r="H2594" s="675"/>
      <c r="I2594" s="675"/>
      <c r="J2594" s="599"/>
      <c r="K2594" s="592"/>
    </row>
    <row r="2595" spans="1:11">
      <c r="A2595" s="568"/>
      <c r="B2595" s="593" t="s">
        <v>1354</v>
      </c>
      <c r="C2595" s="599"/>
      <c r="D2595" s="578">
        <v>1</v>
      </c>
      <c r="E2595" s="579" t="s">
        <v>8</v>
      </c>
      <c r="F2595" s="569">
        <v>1</v>
      </c>
      <c r="G2595" s="618">
        <f>32.47+0.2</f>
        <v>32.67</v>
      </c>
      <c r="H2595" s="618">
        <f>0.2+0.2+0.2</f>
        <v>0.60000000000000009</v>
      </c>
      <c r="I2595" s="618"/>
      <c r="J2595" s="597">
        <f t="shared" ref="J2595:J2599" si="270">PRODUCT(D2595:I2595)</f>
        <v>19.602000000000004</v>
      </c>
      <c r="K2595" s="592"/>
    </row>
    <row r="2596" spans="1:11">
      <c r="A2596" s="568"/>
      <c r="B2596" s="593" t="s">
        <v>1355</v>
      </c>
      <c r="C2596" s="599"/>
      <c r="D2596" s="578">
        <v>1</v>
      </c>
      <c r="E2596" s="579" t="s">
        <v>8</v>
      </c>
      <c r="F2596" s="569">
        <v>2</v>
      </c>
      <c r="G2596" s="618">
        <v>10.199999999999999</v>
      </c>
      <c r="H2596" s="618">
        <f t="shared" ref="H2596:H2599" si="271">0.2+0.2+0.2</f>
        <v>0.60000000000000009</v>
      </c>
      <c r="I2596" s="618"/>
      <c r="J2596" s="597">
        <f t="shared" si="270"/>
        <v>12.24</v>
      </c>
      <c r="K2596" s="592"/>
    </row>
    <row r="2597" spans="1:11">
      <c r="A2597" s="568"/>
      <c r="B2597" s="593" t="s">
        <v>1356</v>
      </c>
      <c r="C2597" s="599"/>
      <c r="D2597" s="578">
        <v>1</v>
      </c>
      <c r="E2597" s="579" t="s">
        <v>8</v>
      </c>
      <c r="F2597" s="569">
        <v>1</v>
      </c>
      <c r="G2597" s="618">
        <v>7.9</v>
      </c>
      <c r="H2597" s="618">
        <f t="shared" si="271"/>
        <v>0.60000000000000009</v>
      </c>
      <c r="I2597" s="618"/>
      <c r="J2597" s="597">
        <f t="shared" si="270"/>
        <v>4.7400000000000011</v>
      </c>
      <c r="K2597" s="592"/>
    </row>
    <row r="2598" spans="1:11">
      <c r="A2598" s="568"/>
      <c r="B2598" s="593" t="s">
        <v>1355</v>
      </c>
      <c r="C2598" s="599"/>
      <c r="D2598" s="578">
        <v>1</v>
      </c>
      <c r="E2598" s="579" t="s">
        <v>8</v>
      </c>
      <c r="F2598" s="569">
        <v>2</v>
      </c>
      <c r="G2598" s="618">
        <v>10.5</v>
      </c>
      <c r="H2598" s="618">
        <f t="shared" si="271"/>
        <v>0.60000000000000009</v>
      </c>
      <c r="I2598" s="618"/>
      <c r="J2598" s="597">
        <f t="shared" si="270"/>
        <v>12.600000000000001</v>
      </c>
      <c r="K2598" s="592"/>
    </row>
    <row r="2599" spans="1:11">
      <c r="A2599" s="568"/>
      <c r="B2599" s="593" t="s">
        <v>1356</v>
      </c>
      <c r="C2599" s="599"/>
      <c r="D2599" s="578">
        <v>1</v>
      </c>
      <c r="E2599" s="579" t="s">
        <v>8</v>
      </c>
      <c r="F2599" s="569">
        <v>1</v>
      </c>
      <c r="G2599" s="618">
        <v>8.5</v>
      </c>
      <c r="H2599" s="618">
        <f t="shared" si="271"/>
        <v>0.60000000000000009</v>
      </c>
      <c r="I2599" s="618"/>
      <c r="J2599" s="597">
        <f t="shared" si="270"/>
        <v>5.1000000000000005</v>
      </c>
      <c r="K2599" s="592"/>
    </row>
    <row r="2600" spans="1:11">
      <c r="A2600" s="568"/>
      <c r="B2600" s="593"/>
      <c r="C2600" s="577"/>
      <c r="G2600" s="612"/>
      <c r="H2600" s="598"/>
      <c r="I2600" s="598"/>
      <c r="J2600" s="614">
        <f>SUM(J2460:J2599)</f>
        <v>3112.9742999999994</v>
      </c>
      <c r="K2600" s="581"/>
    </row>
    <row r="2601" spans="1:11">
      <c r="A2601" s="568"/>
      <c r="B2601" s="610" t="s">
        <v>28</v>
      </c>
      <c r="C2601" s="577"/>
      <c r="G2601" s="612"/>
      <c r="H2601" s="598"/>
      <c r="I2601" s="598"/>
      <c r="J2601" s="605">
        <f>ROUNDUP(J2600,0)</f>
        <v>3113</v>
      </c>
      <c r="K2601" s="576" t="s">
        <v>9</v>
      </c>
    </row>
    <row r="2602" spans="1:11">
      <c r="A2602" s="568"/>
      <c r="B2602" s="593"/>
      <c r="C2602" s="577"/>
      <c r="G2602" s="612"/>
      <c r="H2602" s="598"/>
      <c r="I2602" s="598"/>
      <c r="J2602" s="598"/>
      <c r="K2602" s="581"/>
    </row>
    <row r="2603" spans="1:11" ht="112.9" customHeight="1">
      <c r="A2603" s="568">
        <f>A2457+1</f>
        <v>49</v>
      </c>
      <c r="B2603" s="723" t="str">
        <f>'BOQ-C&amp;I'!C180</f>
        <v xml:space="preserve">Plastering 10 mm thick for ceiling including slabs, beams and column drops and staircase waist slab, sunshade, drops, chajjas, RC walls etc.. with Cement Mortar 1:3 (1 of cement : 3 of P.sand) according to the specification. The rate shall include necessary hacking, staging, scaffolding and curing at all levels etc...as complete with all respects complying with relevant standard specification, as directed by the departmental officers. </v>
      </c>
      <c r="C2603" s="723"/>
      <c r="D2603" s="723"/>
      <c r="E2603" s="723"/>
      <c r="F2603" s="723"/>
      <c r="G2603" s="723"/>
      <c r="H2603" s="723"/>
      <c r="I2603" s="723"/>
      <c r="J2603" s="723"/>
      <c r="K2603" s="723"/>
    </row>
    <row r="2604" spans="1:11">
      <c r="A2604" s="568"/>
      <c r="B2604" s="584" t="s">
        <v>642</v>
      </c>
      <c r="C2604" s="577"/>
      <c r="G2604" s="612"/>
      <c r="H2604" s="598"/>
      <c r="I2604" s="598"/>
      <c r="J2604" s="598"/>
      <c r="K2604" s="581"/>
    </row>
    <row r="2605" spans="1:11">
      <c r="A2605" s="568"/>
      <c r="B2605" s="584" t="s">
        <v>12</v>
      </c>
      <c r="C2605" s="577"/>
      <c r="G2605" s="612"/>
      <c r="H2605" s="598"/>
      <c r="I2605" s="598"/>
      <c r="J2605" s="598"/>
      <c r="K2605" s="581"/>
    </row>
    <row r="2606" spans="1:11">
      <c r="A2606" s="568"/>
      <c r="B2606" s="593" t="s">
        <v>1096</v>
      </c>
      <c r="C2606" s="577"/>
      <c r="D2606" s="578">
        <v>1</v>
      </c>
      <c r="E2606" s="579" t="s">
        <v>8</v>
      </c>
      <c r="F2606" s="569">
        <v>1</v>
      </c>
      <c r="G2606" s="598">
        <v>7.5</v>
      </c>
      <c r="H2606" s="598">
        <v>9.9</v>
      </c>
      <c r="I2606" s="598"/>
      <c r="J2606" s="598">
        <f t="shared" ref="J2606:J2620" si="272">ROUNDUP(PRODUCT(D2606:I2606),2)</f>
        <v>74.25</v>
      </c>
      <c r="K2606" s="581"/>
    </row>
    <row r="2607" spans="1:11">
      <c r="A2607" s="568"/>
      <c r="B2607" s="593" t="s">
        <v>1105</v>
      </c>
      <c r="C2607" s="577"/>
      <c r="D2607" s="578">
        <v>1</v>
      </c>
      <c r="E2607" s="579" t="s">
        <v>8</v>
      </c>
      <c r="F2607" s="569">
        <v>1</v>
      </c>
      <c r="G2607" s="598">
        <v>4.9000000000000004</v>
      </c>
      <c r="H2607" s="598">
        <v>9.6999999999999993</v>
      </c>
      <c r="I2607" s="598"/>
      <c r="J2607" s="598">
        <f t="shared" si="272"/>
        <v>47.53</v>
      </c>
      <c r="K2607" s="581"/>
    </row>
    <row r="2608" spans="1:11">
      <c r="A2608" s="568"/>
      <c r="B2608" s="593" t="s">
        <v>1228</v>
      </c>
      <c r="C2608" s="577"/>
      <c r="D2608" s="578">
        <v>1</v>
      </c>
      <c r="E2608" s="579" t="s">
        <v>8</v>
      </c>
      <c r="F2608" s="569">
        <v>1</v>
      </c>
      <c r="G2608" s="598">
        <v>3.8</v>
      </c>
      <c r="H2608" s="598">
        <v>4.0999999999999996</v>
      </c>
      <c r="I2608" s="598"/>
      <c r="J2608" s="598">
        <f t="shared" si="272"/>
        <v>15.58</v>
      </c>
      <c r="K2608" s="581"/>
    </row>
    <row r="2609" spans="1:11">
      <c r="A2609" s="568"/>
      <c r="B2609" s="593" t="s">
        <v>1228</v>
      </c>
      <c r="C2609" s="577"/>
      <c r="D2609" s="578">
        <v>1</v>
      </c>
      <c r="E2609" s="579" t="s">
        <v>8</v>
      </c>
      <c r="F2609" s="569">
        <v>1</v>
      </c>
      <c r="G2609" s="598">
        <v>1.8</v>
      </c>
      <c r="H2609" s="598">
        <v>2.2000000000000002</v>
      </c>
      <c r="I2609" s="598"/>
      <c r="J2609" s="598">
        <f t="shared" si="272"/>
        <v>3.96</v>
      </c>
      <c r="K2609" s="581"/>
    </row>
    <row r="2610" spans="1:11">
      <c r="A2610" s="568"/>
      <c r="B2610" s="593" t="s">
        <v>592</v>
      </c>
      <c r="C2610" s="577"/>
      <c r="D2610" s="578">
        <v>1</v>
      </c>
      <c r="E2610" s="579" t="s">
        <v>8</v>
      </c>
      <c r="F2610" s="569">
        <v>1</v>
      </c>
      <c r="G2610" s="598">
        <v>3.8</v>
      </c>
      <c r="H2610" s="598">
        <v>4.0999999999999996</v>
      </c>
      <c r="I2610" s="598"/>
      <c r="J2610" s="598">
        <f t="shared" si="272"/>
        <v>15.58</v>
      </c>
      <c r="K2610" s="581"/>
    </row>
    <row r="2611" spans="1:11">
      <c r="A2611" s="568"/>
      <c r="B2611" s="593" t="s">
        <v>592</v>
      </c>
      <c r="C2611" s="577"/>
      <c r="D2611" s="578">
        <v>1</v>
      </c>
      <c r="E2611" s="579" t="s">
        <v>8</v>
      </c>
      <c r="F2611" s="569">
        <v>1</v>
      </c>
      <c r="G2611" s="598">
        <v>1.5</v>
      </c>
      <c r="H2611" s="598">
        <v>2.2000000000000002</v>
      </c>
      <c r="I2611" s="598"/>
      <c r="J2611" s="598">
        <f t="shared" si="272"/>
        <v>3.3</v>
      </c>
      <c r="K2611" s="581"/>
    </row>
    <row r="2612" spans="1:11">
      <c r="A2612" s="568"/>
      <c r="B2612" s="593" t="s">
        <v>15</v>
      </c>
      <c r="C2612" s="577"/>
      <c r="D2612" s="578">
        <v>1</v>
      </c>
      <c r="E2612" s="579" t="s">
        <v>8</v>
      </c>
      <c r="F2612" s="569">
        <v>1</v>
      </c>
      <c r="G2612" s="598">
        <v>7.8</v>
      </c>
      <c r="H2612" s="598">
        <v>6.4</v>
      </c>
      <c r="I2612" s="598"/>
      <c r="J2612" s="598">
        <f t="shared" si="272"/>
        <v>49.92</v>
      </c>
      <c r="K2612" s="581"/>
    </row>
    <row r="2613" spans="1:11">
      <c r="A2613" s="568"/>
      <c r="B2613" s="593" t="s">
        <v>1229</v>
      </c>
      <c r="C2613" s="577"/>
      <c r="D2613" s="578">
        <v>1</v>
      </c>
      <c r="E2613" s="579" t="s">
        <v>8</v>
      </c>
      <c r="F2613" s="569">
        <v>2</v>
      </c>
      <c r="G2613" s="598">
        <v>4.0999999999999996</v>
      </c>
      <c r="H2613" s="598">
        <v>3.8</v>
      </c>
      <c r="I2613" s="598"/>
      <c r="J2613" s="598">
        <f t="shared" si="272"/>
        <v>31.16</v>
      </c>
      <c r="K2613" s="581"/>
    </row>
    <row r="2614" spans="1:11">
      <c r="A2614" s="568"/>
      <c r="B2614" s="593" t="s">
        <v>1229</v>
      </c>
      <c r="C2614" s="577"/>
      <c r="D2614" s="578">
        <v>1</v>
      </c>
      <c r="E2614" s="579" t="s">
        <v>8</v>
      </c>
      <c r="F2614" s="569">
        <v>2</v>
      </c>
      <c r="G2614" s="598">
        <v>2.5</v>
      </c>
      <c r="H2614" s="598">
        <v>1.5</v>
      </c>
      <c r="I2614" s="598"/>
      <c r="J2614" s="598">
        <f t="shared" si="272"/>
        <v>7.5</v>
      </c>
      <c r="K2614" s="581"/>
    </row>
    <row r="2615" spans="1:11">
      <c r="A2615" s="568"/>
      <c r="B2615" s="593" t="s">
        <v>1110</v>
      </c>
      <c r="C2615" s="577"/>
      <c r="D2615" s="578">
        <v>1</v>
      </c>
      <c r="E2615" s="579" t="s">
        <v>8</v>
      </c>
      <c r="F2615" s="569">
        <v>1</v>
      </c>
      <c r="G2615" s="598">
        <v>4.8</v>
      </c>
      <c r="H2615" s="598">
        <v>3.8</v>
      </c>
      <c r="I2615" s="598"/>
      <c r="J2615" s="598">
        <f t="shared" si="272"/>
        <v>18.239999999999998</v>
      </c>
      <c r="K2615" s="581"/>
    </row>
    <row r="2616" spans="1:11">
      <c r="A2616" s="568"/>
      <c r="B2616" s="593" t="s">
        <v>1110</v>
      </c>
      <c r="C2616" s="577"/>
      <c r="D2616" s="578">
        <v>1</v>
      </c>
      <c r="E2616" s="579" t="s">
        <v>8</v>
      </c>
      <c r="F2616" s="569">
        <v>1</v>
      </c>
      <c r="G2616" s="598">
        <v>1.5</v>
      </c>
      <c r="H2616" s="598">
        <v>2.1</v>
      </c>
      <c r="I2616" s="598"/>
      <c r="J2616" s="598">
        <f t="shared" si="272"/>
        <v>3.15</v>
      </c>
      <c r="K2616" s="581"/>
    </row>
    <row r="2617" spans="1:11">
      <c r="A2617" s="568"/>
      <c r="B2617" s="593" t="s">
        <v>1097</v>
      </c>
      <c r="C2617" s="577"/>
      <c r="D2617" s="578">
        <v>1</v>
      </c>
      <c r="E2617" s="579" t="s">
        <v>8</v>
      </c>
      <c r="F2617" s="569">
        <v>1</v>
      </c>
      <c r="G2617" s="598">
        <v>3.8</v>
      </c>
      <c r="H2617" s="598">
        <v>6.4</v>
      </c>
      <c r="I2617" s="598"/>
      <c r="J2617" s="598">
        <f t="shared" si="272"/>
        <v>24.32</v>
      </c>
      <c r="K2617" s="581"/>
    </row>
    <row r="2618" spans="1:11">
      <c r="A2618" s="568"/>
      <c r="B2618" s="593" t="s">
        <v>584</v>
      </c>
      <c r="C2618" s="577"/>
      <c r="D2618" s="578">
        <v>1</v>
      </c>
      <c r="E2618" s="579" t="s">
        <v>8</v>
      </c>
      <c r="F2618" s="569">
        <v>1</v>
      </c>
      <c r="G2618" s="598">
        <v>5.07</v>
      </c>
      <c r="H2618" s="598">
        <v>5</v>
      </c>
      <c r="I2618" s="598"/>
      <c r="J2618" s="598">
        <f t="shared" si="272"/>
        <v>25.35</v>
      </c>
      <c r="K2618" s="581"/>
    </row>
    <row r="2619" spans="1:11">
      <c r="A2619" s="568"/>
      <c r="B2619" s="593" t="s">
        <v>1102</v>
      </c>
      <c r="C2619" s="577"/>
      <c r="D2619" s="578">
        <v>1</v>
      </c>
      <c r="E2619" s="579" t="s">
        <v>8</v>
      </c>
      <c r="F2619" s="569">
        <v>1</v>
      </c>
      <c r="G2619" s="612">
        <v>2.375</v>
      </c>
      <c r="H2619" s="598">
        <v>0.6</v>
      </c>
      <c r="I2619" s="598"/>
      <c r="J2619" s="598">
        <f t="shared" si="272"/>
        <v>1.43</v>
      </c>
      <c r="K2619" s="581"/>
    </row>
    <row r="2620" spans="1:11">
      <c r="A2620" s="568"/>
      <c r="B2620" s="593" t="s">
        <v>1257</v>
      </c>
      <c r="C2620" s="577"/>
      <c r="D2620" s="578">
        <v>1</v>
      </c>
      <c r="E2620" s="579" t="s">
        <v>8</v>
      </c>
      <c r="F2620" s="569">
        <v>1</v>
      </c>
      <c r="G2620" s="612">
        <v>3.3</v>
      </c>
      <c r="H2620" s="598">
        <v>1.9</v>
      </c>
      <c r="I2620" s="598"/>
      <c r="J2620" s="598">
        <f t="shared" si="272"/>
        <v>6.27</v>
      </c>
      <c r="K2620" s="581"/>
    </row>
    <row r="2621" spans="1:11">
      <c r="A2621" s="568"/>
      <c r="B2621" s="593" t="s">
        <v>1334</v>
      </c>
      <c r="C2621" s="599"/>
      <c r="D2621" s="578">
        <v>2</v>
      </c>
      <c r="E2621" s="579" t="s">
        <v>8</v>
      </c>
      <c r="F2621" s="569">
        <v>1</v>
      </c>
      <c r="G2621" s="600">
        <v>2.5</v>
      </c>
      <c r="H2621" s="600">
        <v>2.2000000000000002</v>
      </c>
      <c r="I2621" s="581"/>
      <c r="J2621" s="597">
        <f>PRODUCT(D2621:H2621)</f>
        <v>11</v>
      </c>
      <c r="K2621" s="581"/>
    </row>
    <row r="2622" spans="1:11">
      <c r="A2622" s="568"/>
      <c r="B2622" s="584" t="s">
        <v>13</v>
      </c>
      <c r="C2622" s="577"/>
      <c r="G2622" s="612"/>
      <c r="H2622" s="598"/>
      <c r="I2622" s="598"/>
      <c r="J2622" s="598"/>
      <c r="K2622" s="581"/>
    </row>
    <row r="2623" spans="1:11">
      <c r="A2623" s="568"/>
      <c r="B2623" s="593" t="s">
        <v>1096</v>
      </c>
      <c r="C2623" s="577"/>
      <c r="D2623" s="578">
        <v>1</v>
      </c>
      <c r="E2623" s="579" t="s">
        <v>8</v>
      </c>
      <c r="F2623" s="569">
        <v>1</v>
      </c>
      <c r="G2623" s="659">
        <v>1.5</v>
      </c>
      <c r="H2623" s="612">
        <v>1.6</v>
      </c>
      <c r="I2623" s="598"/>
      <c r="J2623" s="598">
        <f t="shared" ref="J2623:J2634" si="273">ROUNDUP(PRODUCT(D2623:I2623),2)</f>
        <v>2.4</v>
      </c>
      <c r="K2623" s="581"/>
    </row>
    <row r="2624" spans="1:11">
      <c r="A2624" s="568"/>
      <c r="B2624" s="593" t="s">
        <v>1105</v>
      </c>
      <c r="C2624" s="577"/>
      <c r="D2624" s="578">
        <v>1</v>
      </c>
      <c r="E2624" s="579" t="s">
        <v>8</v>
      </c>
      <c r="F2624" s="569">
        <v>1</v>
      </c>
      <c r="G2624" s="659">
        <v>1.5</v>
      </c>
      <c r="H2624" s="612">
        <v>1.6</v>
      </c>
      <c r="I2624" s="598"/>
      <c r="J2624" s="598">
        <f t="shared" si="273"/>
        <v>2.4</v>
      </c>
      <c r="K2624" s="581"/>
    </row>
    <row r="2625" spans="1:11">
      <c r="A2625" s="568"/>
      <c r="B2625" s="593" t="s">
        <v>1228</v>
      </c>
      <c r="C2625" s="577"/>
      <c r="D2625" s="578">
        <v>1</v>
      </c>
      <c r="E2625" s="579" t="s">
        <v>8</v>
      </c>
      <c r="F2625" s="569">
        <v>1</v>
      </c>
      <c r="G2625" s="659">
        <v>2.2000000000000002</v>
      </c>
      <c r="H2625" s="612">
        <v>2.2000000000000002</v>
      </c>
      <c r="I2625" s="598"/>
      <c r="J2625" s="598">
        <f t="shared" si="273"/>
        <v>4.84</v>
      </c>
      <c r="K2625" s="581"/>
    </row>
    <row r="2626" spans="1:11">
      <c r="A2626" s="568"/>
      <c r="B2626" s="593" t="s">
        <v>592</v>
      </c>
      <c r="C2626" s="577"/>
      <c r="D2626" s="578">
        <v>1</v>
      </c>
      <c r="E2626" s="579" t="s">
        <v>8</v>
      </c>
      <c r="F2626" s="569">
        <v>1</v>
      </c>
      <c r="G2626" s="659">
        <v>2.2000000000000002</v>
      </c>
      <c r="H2626" s="612">
        <v>2.2000000000000002</v>
      </c>
      <c r="I2626" s="598"/>
      <c r="J2626" s="598">
        <f t="shared" si="273"/>
        <v>4.84</v>
      </c>
      <c r="K2626" s="581"/>
    </row>
    <row r="2627" spans="1:11">
      <c r="A2627" s="568"/>
      <c r="B2627" s="593" t="s">
        <v>1102</v>
      </c>
      <c r="C2627" s="577"/>
      <c r="D2627" s="578">
        <v>1</v>
      </c>
      <c r="E2627" s="579" t="s">
        <v>8</v>
      </c>
      <c r="F2627" s="569">
        <v>1</v>
      </c>
      <c r="G2627" s="659">
        <v>2.37</v>
      </c>
      <c r="H2627" s="612">
        <v>2.6</v>
      </c>
      <c r="I2627" s="598"/>
      <c r="J2627" s="598">
        <f t="shared" si="273"/>
        <v>6.17</v>
      </c>
      <c r="K2627" s="581"/>
    </row>
    <row r="2628" spans="1:11">
      <c r="A2628" s="568"/>
      <c r="B2628" s="593" t="s">
        <v>1103</v>
      </c>
      <c r="C2628" s="577"/>
      <c r="D2628" s="578">
        <v>1</v>
      </c>
      <c r="E2628" s="579" t="s">
        <v>8</v>
      </c>
      <c r="F2628" s="569">
        <v>1</v>
      </c>
      <c r="G2628" s="659">
        <v>2.5</v>
      </c>
      <c r="H2628" s="612">
        <v>2.6</v>
      </c>
      <c r="I2628" s="598"/>
      <c r="J2628" s="598">
        <f t="shared" si="273"/>
        <v>6.5</v>
      </c>
      <c r="K2628" s="581"/>
    </row>
    <row r="2629" spans="1:11">
      <c r="A2629" s="568"/>
      <c r="B2629" s="593" t="s">
        <v>1233</v>
      </c>
      <c r="C2629" s="577"/>
      <c r="D2629" s="578">
        <v>1</v>
      </c>
      <c r="E2629" s="579" t="s">
        <v>8</v>
      </c>
      <c r="F2629" s="569">
        <v>2</v>
      </c>
      <c r="G2629" s="659">
        <v>2.2000000000000002</v>
      </c>
      <c r="H2629" s="612">
        <v>2.2000000000000002</v>
      </c>
      <c r="I2629" s="598"/>
      <c r="J2629" s="598">
        <f t="shared" si="273"/>
        <v>9.68</v>
      </c>
      <c r="K2629" s="581"/>
    </row>
    <row r="2630" spans="1:11">
      <c r="A2630" s="568"/>
      <c r="B2630" s="593" t="s">
        <v>1110</v>
      </c>
      <c r="C2630" s="577"/>
      <c r="D2630" s="578">
        <v>1</v>
      </c>
      <c r="E2630" s="579" t="s">
        <v>8</v>
      </c>
      <c r="F2630" s="569">
        <v>1</v>
      </c>
      <c r="G2630" s="659">
        <v>1.5</v>
      </c>
      <c r="H2630" s="612">
        <v>1.6</v>
      </c>
      <c r="I2630" s="598"/>
      <c r="J2630" s="598">
        <f t="shared" si="273"/>
        <v>2.4</v>
      </c>
      <c r="K2630" s="581"/>
    </row>
    <row r="2631" spans="1:11">
      <c r="A2631" s="568"/>
      <c r="B2631" s="593" t="s">
        <v>1104</v>
      </c>
      <c r="C2631" s="577"/>
      <c r="D2631" s="578">
        <v>1</v>
      </c>
      <c r="E2631" s="579" t="s">
        <v>8</v>
      </c>
      <c r="F2631" s="569">
        <v>1</v>
      </c>
      <c r="G2631" s="612">
        <v>16.5</v>
      </c>
      <c r="H2631" s="598">
        <v>1.2</v>
      </c>
      <c r="I2631" s="598"/>
      <c r="J2631" s="598">
        <f t="shared" si="273"/>
        <v>19.8</v>
      </c>
      <c r="K2631" s="581"/>
    </row>
    <row r="2632" spans="1:11">
      <c r="A2632" s="568"/>
      <c r="B2632" s="593" t="s">
        <v>1104</v>
      </c>
      <c r="C2632" s="577"/>
      <c r="D2632" s="578">
        <v>1</v>
      </c>
      <c r="E2632" s="579" t="s">
        <v>8</v>
      </c>
      <c r="F2632" s="569">
        <v>1</v>
      </c>
      <c r="G2632" s="612">
        <v>13.2</v>
      </c>
      <c r="H2632" s="598">
        <v>1.5</v>
      </c>
      <c r="I2632" s="598"/>
      <c r="J2632" s="598">
        <f t="shared" si="273"/>
        <v>19.8</v>
      </c>
      <c r="K2632" s="581"/>
    </row>
    <row r="2633" spans="1:11">
      <c r="A2633" s="568"/>
      <c r="B2633" s="593" t="s">
        <v>1104</v>
      </c>
      <c r="C2633" s="577"/>
      <c r="D2633" s="578">
        <v>1</v>
      </c>
      <c r="E2633" s="579" t="s">
        <v>8</v>
      </c>
      <c r="F2633" s="569">
        <v>1</v>
      </c>
      <c r="G2633" s="612">
        <v>8</v>
      </c>
      <c r="H2633" s="598">
        <v>1.5</v>
      </c>
      <c r="I2633" s="598"/>
      <c r="J2633" s="598">
        <f t="shared" si="273"/>
        <v>12</v>
      </c>
      <c r="K2633" s="581"/>
    </row>
    <row r="2634" spans="1:11">
      <c r="A2634" s="568"/>
      <c r="B2634" s="593" t="s">
        <v>1258</v>
      </c>
      <c r="C2634" s="577"/>
      <c r="D2634" s="578">
        <v>1</v>
      </c>
      <c r="E2634" s="579" t="s">
        <v>8</v>
      </c>
      <c r="F2634" s="569">
        <v>1</v>
      </c>
      <c r="G2634" s="612">
        <v>0.8</v>
      </c>
      <c r="H2634" s="598">
        <v>1.9</v>
      </c>
      <c r="I2634" s="598"/>
      <c r="J2634" s="598">
        <f t="shared" si="273"/>
        <v>1.52</v>
      </c>
      <c r="K2634" s="581"/>
    </row>
    <row r="2635" spans="1:11">
      <c r="A2635" s="568"/>
      <c r="B2635" s="593" t="s">
        <v>1329</v>
      </c>
      <c r="C2635" s="599"/>
      <c r="D2635" s="578">
        <v>1</v>
      </c>
      <c r="E2635" s="579" t="s">
        <v>8</v>
      </c>
      <c r="F2635" s="569">
        <v>1</v>
      </c>
      <c r="G2635" s="600">
        <v>1.2</v>
      </c>
      <c r="H2635" s="600">
        <v>2</v>
      </c>
      <c r="I2635" s="581"/>
      <c r="J2635" s="597">
        <f>PRODUCT(D2635:H2635)</f>
        <v>2.4</v>
      </c>
      <c r="K2635" s="581"/>
    </row>
    <row r="2636" spans="1:11">
      <c r="A2636" s="568"/>
      <c r="B2636" s="584" t="s">
        <v>1259</v>
      </c>
      <c r="C2636" s="577"/>
      <c r="G2636" s="612"/>
      <c r="H2636" s="598"/>
      <c r="I2636" s="598"/>
      <c r="J2636" s="598"/>
      <c r="K2636" s="581"/>
    </row>
    <row r="2637" spans="1:11">
      <c r="A2637" s="568"/>
      <c r="B2637" s="593" t="s">
        <v>1260</v>
      </c>
      <c r="C2637" s="577"/>
      <c r="D2637" s="578">
        <v>3</v>
      </c>
      <c r="E2637" s="579" t="s">
        <v>8</v>
      </c>
      <c r="F2637" s="569">
        <v>1</v>
      </c>
      <c r="G2637" s="598">
        <f>3.5+0.2+3.8</f>
        <v>7.5</v>
      </c>
      <c r="H2637" s="598">
        <v>3.3</v>
      </c>
      <c r="I2637" s="598"/>
      <c r="J2637" s="598">
        <f t="shared" ref="J2637:J2647" si="274">ROUNDUP(PRODUCT(D2637:I2637),2)</f>
        <v>74.25</v>
      </c>
      <c r="K2637" s="581"/>
    </row>
    <row r="2638" spans="1:11">
      <c r="A2638" s="568"/>
      <c r="B2638" s="593" t="s">
        <v>1225</v>
      </c>
      <c r="C2638" s="577"/>
      <c r="D2638" s="578">
        <v>3</v>
      </c>
      <c r="E2638" s="579" t="s">
        <v>8</v>
      </c>
      <c r="F2638" s="569">
        <v>5</v>
      </c>
      <c r="G2638" s="717">
        <v>12.75</v>
      </c>
      <c r="H2638" s="718"/>
      <c r="I2638" s="598"/>
      <c r="J2638" s="598">
        <f t="shared" si="274"/>
        <v>191.25</v>
      </c>
      <c r="K2638" s="581"/>
    </row>
    <row r="2639" spans="1:11">
      <c r="A2639" s="568"/>
      <c r="B2639" s="593" t="s">
        <v>1231</v>
      </c>
      <c r="C2639" s="577"/>
      <c r="D2639" s="578">
        <v>3</v>
      </c>
      <c r="E2639" s="579" t="s">
        <v>8</v>
      </c>
      <c r="F2639" s="569">
        <v>5</v>
      </c>
      <c r="G2639" s="717">
        <v>24.2</v>
      </c>
      <c r="H2639" s="718"/>
      <c r="I2639" s="598"/>
      <c r="J2639" s="598">
        <f t="shared" si="274"/>
        <v>363</v>
      </c>
      <c r="K2639" s="581"/>
    </row>
    <row r="2640" spans="1:11">
      <c r="A2640" s="568"/>
      <c r="B2640" s="593" t="s">
        <v>1231</v>
      </c>
      <c r="C2640" s="577"/>
      <c r="D2640" s="578">
        <v>3</v>
      </c>
      <c r="E2640" s="579" t="s">
        <v>8</v>
      </c>
      <c r="F2640" s="569">
        <v>3</v>
      </c>
      <c r="G2640" s="717">
        <v>24.26</v>
      </c>
      <c r="H2640" s="718"/>
      <c r="I2640" s="598"/>
      <c r="J2640" s="598">
        <f t="shared" si="274"/>
        <v>218.34</v>
      </c>
      <c r="K2640" s="581"/>
    </row>
    <row r="2641" spans="1:11">
      <c r="A2641" s="568"/>
      <c r="B2641" s="593" t="s">
        <v>1232</v>
      </c>
      <c r="C2641" s="577"/>
      <c r="D2641" s="578">
        <v>3</v>
      </c>
      <c r="E2641" s="579" t="s">
        <v>8</v>
      </c>
      <c r="F2641" s="569">
        <v>1</v>
      </c>
      <c r="G2641" s="659">
        <v>3.3</v>
      </c>
      <c r="H2641" s="612">
        <v>1.9</v>
      </c>
      <c r="I2641" s="598"/>
      <c r="J2641" s="598">
        <f t="shared" si="274"/>
        <v>18.809999999999999</v>
      </c>
      <c r="K2641" s="581"/>
    </row>
    <row r="2642" spans="1:11">
      <c r="A2642" s="568"/>
      <c r="B2642" s="593" t="s">
        <v>1225</v>
      </c>
      <c r="C2642" s="577"/>
      <c r="D2642" s="578">
        <v>3</v>
      </c>
      <c r="E2642" s="579" t="s">
        <v>8</v>
      </c>
      <c r="F2642" s="569">
        <v>5</v>
      </c>
      <c r="G2642" s="724">
        <v>3.43</v>
      </c>
      <c r="H2642" s="724"/>
      <c r="I2642" s="598"/>
      <c r="J2642" s="598">
        <f t="shared" si="274"/>
        <v>51.45</v>
      </c>
      <c r="K2642" s="581"/>
    </row>
    <row r="2643" spans="1:11">
      <c r="A2643" s="568"/>
      <c r="B2643" s="593" t="s">
        <v>1193</v>
      </c>
      <c r="C2643" s="577"/>
      <c r="D2643" s="578">
        <v>3</v>
      </c>
      <c r="E2643" s="579" t="s">
        <v>8</v>
      </c>
      <c r="F2643" s="569">
        <v>1</v>
      </c>
      <c r="G2643" s="598">
        <v>5.07</v>
      </c>
      <c r="H2643" s="598">
        <v>7.8</v>
      </c>
      <c r="I2643" s="598"/>
      <c r="J2643" s="598">
        <f t="shared" si="274"/>
        <v>118.64</v>
      </c>
      <c r="K2643" s="581"/>
    </row>
    <row r="2644" spans="1:11">
      <c r="A2644" s="568"/>
      <c r="B2644" s="593" t="s">
        <v>1104</v>
      </c>
      <c r="C2644" s="577"/>
      <c r="D2644" s="578">
        <v>3</v>
      </c>
      <c r="E2644" s="579" t="s">
        <v>8</v>
      </c>
      <c r="F2644" s="569">
        <v>1</v>
      </c>
      <c r="G2644" s="612">
        <v>16.5</v>
      </c>
      <c r="H2644" s="598">
        <v>1.2</v>
      </c>
      <c r="I2644" s="598"/>
      <c r="J2644" s="598">
        <f t="shared" si="274"/>
        <v>59.4</v>
      </c>
      <c r="K2644" s="581"/>
    </row>
    <row r="2645" spans="1:11">
      <c r="A2645" s="568"/>
      <c r="B2645" s="593" t="s">
        <v>1104</v>
      </c>
      <c r="C2645" s="577"/>
      <c r="D2645" s="578">
        <v>3</v>
      </c>
      <c r="E2645" s="579" t="s">
        <v>8</v>
      </c>
      <c r="F2645" s="569">
        <v>1</v>
      </c>
      <c r="G2645" s="612">
        <v>13.2</v>
      </c>
      <c r="H2645" s="598">
        <v>1.5</v>
      </c>
      <c r="I2645" s="598"/>
      <c r="J2645" s="598">
        <f t="shared" si="274"/>
        <v>59.4</v>
      </c>
      <c r="K2645" s="581"/>
    </row>
    <row r="2646" spans="1:11">
      <c r="A2646" s="568"/>
      <c r="B2646" s="593" t="s">
        <v>1104</v>
      </c>
      <c r="C2646" s="577"/>
      <c r="D2646" s="578">
        <v>3</v>
      </c>
      <c r="E2646" s="579" t="s">
        <v>8</v>
      </c>
      <c r="F2646" s="569">
        <v>1</v>
      </c>
      <c r="G2646" s="612">
        <v>8</v>
      </c>
      <c r="H2646" s="598">
        <v>1.5</v>
      </c>
      <c r="I2646" s="598"/>
      <c r="J2646" s="598">
        <f t="shared" si="274"/>
        <v>36</v>
      </c>
      <c r="K2646" s="581"/>
    </row>
    <row r="2647" spans="1:11">
      <c r="A2647" s="568"/>
      <c r="B2647" s="593" t="s">
        <v>1258</v>
      </c>
      <c r="C2647" s="577"/>
      <c r="D2647" s="578">
        <v>3</v>
      </c>
      <c r="E2647" s="579" t="s">
        <v>8</v>
      </c>
      <c r="F2647" s="569">
        <v>1</v>
      </c>
      <c r="G2647" s="612">
        <v>0.8</v>
      </c>
      <c r="H2647" s="598">
        <v>1.9</v>
      </c>
      <c r="I2647" s="598"/>
      <c r="J2647" s="598">
        <f t="shared" si="274"/>
        <v>4.5599999999999996</v>
      </c>
      <c r="K2647" s="581"/>
    </row>
    <row r="2648" spans="1:11" ht="18.75" customHeight="1">
      <c r="A2648" s="568"/>
      <c r="B2648" s="584" t="s">
        <v>614</v>
      </c>
      <c r="C2648" s="589"/>
      <c r="G2648" s="590"/>
      <c r="H2648" s="591"/>
      <c r="I2648" s="591"/>
      <c r="J2648" s="591"/>
      <c r="K2648" s="592"/>
    </row>
    <row r="2649" spans="1:11" ht="18.75" customHeight="1">
      <c r="A2649" s="568"/>
      <c r="B2649" s="593" t="s">
        <v>1639</v>
      </c>
      <c r="C2649" s="589"/>
      <c r="D2649" s="578">
        <v>1</v>
      </c>
      <c r="E2649" s="579" t="s">
        <v>8</v>
      </c>
      <c r="F2649" s="569">
        <v>1</v>
      </c>
      <c r="G2649" s="590">
        <v>4.5</v>
      </c>
      <c r="H2649" s="591">
        <v>1.5</v>
      </c>
      <c r="I2649" s="591"/>
      <c r="J2649" s="591">
        <f t="shared" ref="J2649:J2652" si="275">PRODUCT(D2649:I2649)</f>
        <v>6.75</v>
      </c>
      <c r="K2649" s="592"/>
    </row>
    <row r="2650" spans="1:11" ht="18.75" customHeight="1">
      <c r="A2650" s="568"/>
      <c r="B2650" s="593" t="s">
        <v>1639</v>
      </c>
      <c r="C2650" s="589"/>
      <c r="D2650" s="578">
        <v>1</v>
      </c>
      <c r="E2650" s="579" t="s">
        <v>8</v>
      </c>
      <c r="F2650" s="569">
        <v>7</v>
      </c>
      <c r="G2650" s="590">
        <v>3.7</v>
      </c>
      <c r="H2650" s="591">
        <v>1.5</v>
      </c>
      <c r="I2650" s="591"/>
      <c r="J2650" s="591">
        <f t="shared" ref="J2650" si="276">PRODUCT(D2650:I2650)</f>
        <v>38.85</v>
      </c>
      <c r="K2650" s="592"/>
    </row>
    <row r="2651" spans="1:11" ht="18.75" customHeight="1">
      <c r="A2651" s="568"/>
      <c r="B2651" s="593" t="s">
        <v>502</v>
      </c>
      <c r="C2651" s="589"/>
      <c r="D2651" s="578">
        <v>1</v>
      </c>
      <c r="E2651" s="579" t="s">
        <v>8</v>
      </c>
      <c r="F2651" s="569">
        <v>4</v>
      </c>
      <c r="G2651" s="725">
        <v>4.8600000000000003</v>
      </c>
      <c r="H2651" s="726"/>
      <c r="I2651" s="591"/>
      <c r="J2651" s="591">
        <f t="shared" si="275"/>
        <v>19.440000000000001</v>
      </c>
      <c r="K2651" s="592"/>
    </row>
    <row r="2652" spans="1:11" ht="18.75" customHeight="1">
      <c r="A2652" s="568"/>
      <c r="B2652" s="593" t="s">
        <v>610</v>
      </c>
      <c r="C2652" s="589"/>
      <c r="D2652" s="578">
        <v>1</v>
      </c>
      <c r="E2652" s="579" t="s">
        <v>8</v>
      </c>
      <c r="F2652" s="569">
        <v>1</v>
      </c>
      <c r="G2652" s="725">
        <v>1.44</v>
      </c>
      <c r="H2652" s="726"/>
      <c r="I2652" s="591"/>
      <c r="J2652" s="591">
        <f t="shared" si="275"/>
        <v>1.44</v>
      </c>
      <c r="K2652" s="592"/>
    </row>
    <row r="2653" spans="1:11">
      <c r="A2653" s="568"/>
      <c r="B2653" s="584" t="s">
        <v>615</v>
      </c>
      <c r="C2653" s="589"/>
      <c r="G2653" s="590"/>
      <c r="H2653" s="591"/>
      <c r="I2653" s="591"/>
      <c r="J2653" s="591"/>
      <c r="K2653" s="592"/>
    </row>
    <row r="2654" spans="1:11">
      <c r="A2654" s="568"/>
      <c r="B2654" s="593" t="s">
        <v>1639</v>
      </c>
      <c r="C2654" s="589"/>
      <c r="D2654" s="578">
        <v>1</v>
      </c>
      <c r="E2654" s="579" t="s">
        <v>8</v>
      </c>
      <c r="F2654" s="569">
        <v>1</v>
      </c>
      <c r="G2654" s="590">
        <v>4.5</v>
      </c>
      <c r="H2654" s="591">
        <v>1.5</v>
      </c>
      <c r="I2654" s="591"/>
      <c r="J2654" s="591">
        <f t="shared" ref="J2654:J2657" si="277">PRODUCT(D2654:I2654)</f>
        <v>6.75</v>
      </c>
      <c r="K2654" s="592"/>
    </row>
    <row r="2655" spans="1:11">
      <c r="A2655" s="568"/>
      <c r="B2655" s="593" t="s">
        <v>1639</v>
      </c>
      <c r="C2655" s="589"/>
      <c r="D2655" s="578">
        <v>1</v>
      </c>
      <c r="E2655" s="579" t="s">
        <v>8</v>
      </c>
      <c r="F2655" s="569">
        <v>7</v>
      </c>
      <c r="G2655" s="590">
        <v>3.7</v>
      </c>
      <c r="H2655" s="591">
        <v>1.5</v>
      </c>
      <c r="I2655" s="591"/>
      <c r="J2655" s="591">
        <f t="shared" si="277"/>
        <v>38.85</v>
      </c>
      <c r="K2655" s="592"/>
    </row>
    <row r="2656" spans="1:11">
      <c r="A2656" s="568"/>
      <c r="B2656" s="593" t="s">
        <v>502</v>
      </c>
      <c r="C2656" s="589"/>
      <c r="D2656" s="578">
        <v>1</v>
      </c>
      <c r="E2656" s="579" t="s">
        <v>8</v>
      </c>
      <c r="F2656" s="569">
        <v>4</v>
      </c>
      <c r="G2656" s="725">
        <v>4.8600000000000003</v>
      </c>
      <c r="H2656" s="726"/>
      <c r="I2656" s="591"/>
      <c r="J2656" s="591">
        <f t="shared" si="277"/>
        <v>19.440000000000001</v>
      </c>
      <c r="K2656" s="592"/>
    </row>
    <row r="2657" spans="1:11">
      <c r="A2657" s="568"/>
      <c r="B2657" s="593" t="s">
        <v>610</v>
      </c>
      <c r="C2657" s="589"/>
      <c r="D2657" s="578">
        <v>1</v>
      </c>
      <c r="E2657" s="579" t="s">
        <v>8</v>
      </c>
      <c r="F2657" s="569">
        <v>1</v>
      </c>
      <c r="G2657" s="725">
        <v>1.44</v>
      </c>
      <c r="H2657" s="726"/>
      <c r="I2657" s="591"/>
      <c r="J2657" s="591">
        <f t="shared" si="277"/>
        <v>1.44</v>
      </c>
      <c r="K2657" s="592"/>
    </row>
    <row r="2658" spans="1:11">
      <c r="A2658" s="568"/>
      <c r="B2658" s="584" t="s">
        <v>60</v>
      </c>
      <c r="C2658" s="577"/>
      <c r="G2658" s="612"/>
      <c r="H2658" s="598"/>
      <c r="I2658" s="598"/>
      <c r="J2658" s="598"/>
      <c r="K2658" s="581"/>
    </row>
    <row r="2659" spans="1:11">
      <c r="A2659" s="568"/>
      <c r="B2659" s="593" t="s">
        <v>640</v>
      </c>
      <c r="C2659" s="577"/>
      <c r="D2659" s="578">
        <v>1</v>
      </c>
      <c r="E2659" s="579" t="s">
        <v>8</v>
      </c>
      <c r="F2659" s="569">
        <v>1</v>
      </c>
      <c r="G2659" s="659">
        <v>4.6500000000000004</v>
      </c>
      <c r="H2659" s="612">
        <v>1.9</v>
      </c>
      <c r="I2659" s="598"/>
      <c r="J2659" s="598">
        <f t="shared" ref="J2659:J2660" si="278">ROUNDUP(PRODUCT(D2659:I2659),2)</f>
        <v>8.84</v>
      </c>
      <c r="K2659" s="581"/>
    </row>
    <row r="2660" spans="1:11">
      <c r="A2660" s="568"/>
      <c r="B2660" s="593" t="s">
        <v>641</v>
      </c>
      <c r="C2660" s="577"/>
      <c r="D2660" s="578">
        <v>1</v>
      </c>
      <c r="E2660" s="579" t="s">
        <v>8</v>
      </c>
      <c r="F2660" s="569">
        <v>2</v>
      </c>
      <c r="G2660" s="612">
        <v>3.3</v>
      </c>
      <c r="H2660" s="598">
        <v>6.9</v>
      </c>
      <c r="I2660" s="598"/>
      <c r="J2660" s="598">
        <f t="shared" si="278"/>
        <v>45.54</v>
      </c>
      <c r="K2660" s="581"/>
    </row>
    <row r="2661" spans="1:11">
      <c r="A2661" s="568"/>
      <c r="B2661" s="593" t="s">
        <v>643</v>
      </c>
      <c r="C2661" s="577"/>
      <c r="G2661" s="612"/>
      <c r="H2661" s="598"/>
      <c r="I2661" s="598"/>
      <c r="J2661" s="598"/>
      <c r="K2661" s="581"/>
    </row>
    <row r="2662" spans="1:11">
      <c r="A2662" s="568"/>
      <c r="B2662" s="593" t="s">
        <v>503</v>
      </c>
      <c r="C2662" s="589"/>
      <c r="D2662" s="578">
        <v>1</v>
      </c>
      <c r="E2662" s="579" t="s">
        <v>8</v>
      </c>
      <c r="F2662" s="569">
        <v>1</v>
      </c>
      <c r="G2662" s="590">
        <v>2.5</v>
      </c>
      <c r="H2662" s="591">
        <v>1</v>
      </c>
      <c r="I2662" s="591"/>
      <c r="J2662" s="591">
        <f>PRODUCT(D2662:I2662)</f>
        <v>2.5</v>
      </c>
      <c r="K2662" s="581"/>
    </row>
    <row r="2663" spans="1:11">
      <c r="A2663" s="568"/>
      <c r="B2663" s="593" t="s">
        <v>610</v>
      </c>
      <c r="C2663" s="589"/>
      <c r="D2663" s="578">
        <v>1</v>
      </c>
      <c r="E2663" s="579" t="s">
        <v>8</v>
      </c>
      <c r="F2663" s="569">
        <v>1</v>
      </c>
      <c r="G2663" s="590">
        <v>1.5</v>
      </c>
      <c r="H2663" s="591">
        <v>1</v>
      </c>
      <c r="I2663" s="591"/>
      <c r="J2663" s="591">
        <f>PRODUCT(D2663:I2663)</f>
        <v>1.5</v>
      </c>
      <c r="K2663" s="581"/>
    </row>
    <row r="2664" spans="1:11">
      <c r="A2664" s="568"/>
      <c r="B2664" s="593"/>
      <c r="C2664" s="577"/>
      <c r="G2664" s="612"/>
      <c r="H2664" s="598"/>
      <c r="I2664" s="598"/>
      <c r="J2664" s="614">
        <f>SUM(J2606:J2663)</f>
        <v>1819.73</v>
      </c>
      <c r="K2664" s="581"/>
    </row>
    <row r="2665" spans="1:11">
      <c r="A2665" s="568"/>
      <c r="B2665" s="610" t="s">
        <v>28</v>
      </c>
      <c r="C2665" s="577"/>
      <c r="G2665" s="612"/>
      <c r="H2665" s="598"/>
      <c r="I2665" s="598"/>
      <c r="J2665" s="605">
        <f>ROUNDUP(J2664,0)</f>
        <v>1820</v>
      </c>
      <c r="K2665" s="576" t="s">
        <v>9</v>
      </c>
    </row>
    <row r="2666" spans="1:11">
      <c r="A2666" s="568"/>
      <c r="B2666" s="593"/>
      <c r="C2666" s="577"/>
      <c r="G2666" s="612"/>
      <c r="H2666" s="598"/>
      <c r="I2666" s="598"/>
      <c r="J2666" s="598"/>
      <c r="K2666" s="581"/>
    </row>
    <row r="2667" spans="1:11" ht="172.9" customHeight="1">
      <c r="A2667" s="568">
        <f>+A2603+1</f>
        <v>50</v>
      </c>
      <c r="B2667" s="723" t="str">
        <f>'BOQ-C&amp;I'!C181</f>
        <v>Providing 12 mm thick water proof plaster in Toilet internal walls and over head tank with CM 1:3 (1 of cement : 3 of P.sand) with water proofing compound of CICO No:1 or equivalent as per manufacturer’s specification and roughening the surface in green condition with wire brush and clearing of loose particles with sponge  brush (washed sand finish). Rate including all materials, labour charges, wastages, necessary lead and lifts, working at all levels, transportation charges, loading, unloading, preparation of surface, necessary hacking in RCC surface, scaffolding, stagging, providing drip bands, moulds to any size and shape as shown in drawings tools and plants, fuel, curing,  cleaning, consumables etc as complete with all respects complying with relevant standard specification and as directed by the departmental officers.</v>
      </c>
      <c r="C2667" s="723"/>
      <c r="D2667" s="723"/>
      <c r="E2667" s="723"/>
      <c r="F2667" s="723"/>
      <c r="G2667" s="723"/>
      <c r="H2667" s="723"/>
      <c r="I2667" s="723"/>
      <c r="J2667" s="723"/>
      <c r="K2667" s="723"/>
    </row>
    <row r="2668" spans="1:11">
      <c r="A2668" s="568"/>
      <c r="B2668" s="584" t="s">
        <v>12</v>
      </c>
      <c r="C2668" s="577"/>
      <c r="G2668" s="612"/>
      <c r="H2668" s="598"/>
      <c r="I2668" s="598"/>
      <c r="J2668" s="598"/>
      <c r="K2668" s="581"/>
    </row>
    <row r="2669" spans="1:11">
      <c r="A2669" s="568"/>
      <c r="B2669" s="584" t="s">
        <v>13</v>
      </c>
      <c r="C2669" s="577"/>
      <c r="G2669" s="598"/>
      <c r="H2669" s="598"/>
      <c r="I2669" s="598"/>
      <c r="J2669" s="598"/>
      <c r="K2669" s="581"/>
    </row>
    <row r="2670" spans="1:11">
      <c r="A2670" s="568"/>
      <c r="B2670" s="593" t="s">
        <v>1096</v>
      </c>
      <c r="C2670" s="577"/>
      <c r="D2670" s="578">
        <v>1</v>
      </c>
      <c r="E2670" s="579" t="s">
        <v>8</v>
      </c>
      <c r="F2670" s="569">
        <v>1</v>
      </c>
      <c r="G2670" s="659">
        <f>(1.5+1.6)*2</f>
        <v>6.2</v>
      </c>
      <c r="H2670" s="581"/>
      <c r="I2670" s="612">
        <f>4-0.45</f>
        <v>3.55</v>
      </c>
      <c r="J2670" s="598">
        <f t="shared" ref="J2670:J2690" si="279">ROUNDUP(PRODUCT(D2670:I2670),2)</f>
        <v>22.01</v>
      </c>
      <c r="K2670" s="581"/>
    </row>
    <row r="2671" spans="1:11">
      <c r="A2671" s="568"/>
      <c r="B2671" s="593" t="s">
        <v>1261</v>
      </c>
      <c r="C2671" s="577"/>
      <c r="D2671" s="578">
        <v>-1</v>
      </c>
      <c r="E2671" s="579" t="s">
        <v>8</v>
      </c>
      <c r="F2671" s="569">
        <v>1</v>
      </c>
      <c r="G2671" s="671">
        <v>0.75</v>
      </c>
      <c r="H2671" s="598"/>
      <c r="I2671" s="612">
        <v>2.1</v>
      </c>
      <c r="J2671" s="598">
        <f t="shared" si="279"/>
        <v>-1.58</v>
      </c>
      <c r="K2671" s="581"/>
    </row>
    <row r="2672" spans="1:11">
      <c r="A2672" s="568"/>
      <c r="B2672" s="593" t="s">
        <v>1105</v>
      </c>
      <c r="C2672" s="577"/>
      <c r="D2672" s="578">
        <v>1</v>
      </c>
      <c r="E2672" s="579" t="s">
        <v>8</v>
      </c>
      <c r="F2672" s="569">
        <v>3</v>
      </c>
      <c r="G2672" s="659">
        <v>7.7</v>
      </c>
      <c r="H2672" s="581"/>
      <c r="I2672" s="612">
        <f t="shared" ref="I2672:I2692" si="280">4-0.45</f>
        <v>3.55</v>
      </c>
      <c r="J2672" s="598">
        <f t="shared" si="279"/>
        <v>82.01</v>
      </c>
      <c r="K2672" s="581"/>
    </row>
    <row r="2673" spans="1:11">
      <c r="A2673" s="568"/>
      <c r="B2673" s="593" t="s">
        <v>1261</v>
      </c>
      <c r="C2673" s="577"/>
      <c r="D2673" s="578">
        <v>-1</v>
      </c>
      <c r="E2673" s="579" t="s">
        <v>8</v>
      </c>
      <c r="F2673" s="569">
        <v>3</v>
      </c>
      <c r="G2673" s="671">
        <v>0.75</v>
      </c>
      <c r="H2673" s="598"/>
      <c r="I2673" s="612">
        <v>2.1</v>
      </c>
      <c r="J2673" s="598">
        <f t="shared" si="279"/>
        <v>-4.7299999999999995</v>
      </c>
      <c r="K2673" s="581"/>
    </row>
    <row r="2674" spans="1:11">
      <c r="A2674" s="568"/>
      <c r="B2674" s="593" t="s">
        <v>1262</v>
      </c>
      <c r="C2674" s="577"/>
      <c r="D2674" s="578">
        <v>-1</v>
      </c>
      <c r="E2674" s="579" t="s">
        <v>8</v>
      </c>
      <c r="F2674" s="569">
        <v>3</v>
      </c>
      <c r="G2674" s="671">
        <v>0.6</v>
      </c>
      <c r="H2674" s="598"/>
      <c r="I2674" s="612">
        <v>0.75</v>
      </c>
      <c r="J2674" s="598">
        <f t="shared" si="279"/>
        <v>-1.35</v>
      </c>
      <c r="K2674" s="581"/>
    </row>
    <row r="2675" spans="1:11">
      <c r="A2675" s="568"/>
      <c r="B2675" s="593" t="s">
        <v>1228</v>
      </c>
      <c r="C2675" s="577"/>
      <c r="D2675" s="578">
        <v>1</v>
      </c>
      <c r="E2675" s="579" t="s">
        <v>8</v>
      </c>
      <c r="F2675" s="569">
        <v>1</v>
      </c>
      <c r="G2675" s="659">
        <f>(2.2+2.2)*2</f>
        <v>8.8000000000000007</v>
      </c>
      <c r="H2675" s="581"/>
      <c r="I2675" s="612">
        <f t="shared" si="280"/>
        <v>3.55</v>
      </c>
      <c r="J2675" s="598">
        <f t="shared" si="279"/>
        <v>31.24</v>
      </c>
      <c r="K2675" s="581"/>
    </row>
    <row r="2676" spans="1:11">
      <c r="A2676" s="568"/>
      <c r="B2676" s="593" t="s">
        <v>1261</v>
      </c>
      <c r="C2676" s="577"/>
      <c r="D2676" s="578">
        <v>-1</v>
      </c>
      <c r="E2676" s="579" t="s">
        <v>8</v>
      </c>
      <c r="F2676" s="569">
        <v>1</v>
      </c>
      <c r="G2676" s="671">
        <v>0.75</v>
      </c>
      <c r="H2676" s="598"/>
      <c r="I2676" s="612">
        <v>2.1</v>
      </c>
      <c r="J2676" s="598">
        <f t="shared" si="279"/>
        <v>-1.58</v>
      </c>
      <c r="K2676" s="581"/>
    </row>
    <row r="2677" spans="1:11">
      <c r="A2677" s="568"/>
      <c r="B2677" s="593" t="s">
        <v>1262</v>
      </c>
      <c r="C2677" s="577"/>
      <c r="D2677" s="578">
        <v>-1</v>
      </c>
      <c r="E2677" s="579" t="s">
        <v>8</v>
      </c>
      <c r="F2677" s="569">
        <v>1</v>
      </c>
      <c r="G2677" s="671">
        <v>0.6</v>
      </c>
      <c r="H2677" s="598"/>
      <c r="I2677" s="612">
        <v>0.75</v>
      </c>
      <c r="J2677" s="598">
        <f t="shared" si="279"/>
        <v>-0.45</v>
      </c>
      <c r="K2677" s="581"/>
    </row>
    <row r="2678" spans="1:11">
      <c r="A2678" s="568"/>
      <c r="B2678" s="593" t="s">
        <v>592</v>
      </c>
      <c r="C2678" s="577"/>
      <c r="D2678" s="578">
        <v>1</v>
      </c>
      <c r="E2678" s="579" t="s">
        <v>8</v>
      </c>
      <c r="F2678" s="569">
        <v>1</v>
      </c>
      <c r="G2678" s="659">
        <f>(2.2+2.2)*2</f>
        <v>8.8000000000000007</v>
      </c>
      <c r="H2678" s="581"/>
      <c r="I2678" s="612">
        <f t="shared" si="280"/>
        <v>3.55</v>
      </c>
      <c r="J2678" s="598">
        <f t="shared" si="279"/>
        <v>31.24</v>
      </c>
      <c r="K2678" s="581"/>
    </row>
    <row r="2679" spans="1:11">
      <c r="A2679" s="568"/>
      <c r="B2679" s="593" t="s">
        <v>1261</v>
      </c>
      <c r="C2679" s="577"/>
      <c r="D2679" s="578">
        <v>-1</v>
      </c>
      <c r="E2679" s="579" t="s">
        <v>8</v>
      </c>
      <c r="F2679" s="569">
        <v>1</v>
      </c>
      <c r="G2679" s="671">
        <v>0.75</v>
      </c>
      <c r="H2679" s="598"/>
      <c r="I2679" s="612">
        <v>2.1</v>
      </c>
      <c r="J2679" s="598">
        <f t="shared" si="279"/>
        <v>-1.58</v>
      </c>
      <c r="K2679" s="581"/>
    </row>
    <row r="2680" spans="1:11">
      <c r="A2680" s="568"/>
      <c r="B2680" s="593" t="s">
        <v>1262</v>
      </c>
      <c r="C2680" s="577"/>
      <c r="D2680" s="578">
        <v>-1</v>
      </c>
      <c r="E2680" s="579" t="s">
        <v>8</v>
      </c>
      <c r="F2680" s="569">
        <v>1</v>
      </c>
      <c r="G2680" s="671">
        <v>0.6</v>
      </c>
      <c r="H2680" s="598"/>
      <c r="I2680" s="612">
        <v>0.75</v>
      </c>
      <c r="J2680" s="598">
        <f t="shared" si="279"/>
        <v>-0.45</v>
      </c>
      <c r="K2680" s="581"/>
    </row>
    <row r="2681" spans="1:11">
      <c r="A2681" s="568"/>
      <c r="B2681" s="593" t="s">
        <v>1102</v>
      </c>
      <c r="C2681" s="577"/>
      <c r="D2681" s="578">
        <v>1</v>
      </c>
      <c r="E2681" s="579" t="s">
        <v>8</v>
      </c>
      <c r="F2681" s="569">
        <v>1</v>
      </c>
      <c r="G2681" s="659">
        <f>(2.37+2.6)*2</f>
        <v>9.9400000000000013</v>
      </c>
      <c r="H2681" s="581"/>
      <c r="I2681" s="612">
        <f t="shared" si="280"/>
        <v>3.55</v>
      </c>
      <c r="J2681" s="598">
        <f t="shared" si="279"/>
        <v>35.29</v>
      </c>
      <c r="K2681" s="581"/>
    </row>
    <row r="2682" spans="1:11">
      <c r="A2682" s="568"/>
      <c r="B2682" s="593" t="s">
        <v>1263</v>
      </c>
      <c r="C2682" s="577"/>
      <c r="D2682" s="578">
        <v>-1</v>
      </c>
      <c r="E2682" s="579" t="s">
        <v>8</v>
      </c>
      <c r="F2682" s="569">
        <v>1</v>
      </c>
      <c r="G2682" s="659">
        <v>1.2</v>
      </c>
      <c r="H2682" s="581"/>
      <c r="I2682" s="612">
        <v>2.1</v>
      </c>
      <c r="J2682" s="598">
        <f t="shared" si="279"/>
        <v>-2.52</v>
      </c>
      <c r="K2682" s="581"/>
    </row>
    <row r="2683" spans="1:11">
      <c r="A2683" s="568"/>
      <c r="B2683" s="593" t="s">
        <v>1103</v>
      </c>
      <c r="C2683" s="577"/>
      <c r="D2683" s="578">
        <v>1</v>
      </c>
      <c r="E2683" s="579" t="s">
        <v>8</v>
      </c>
      <c r="F2683" s="569">
        <v>1</v>
      </c>
      <c r="G2683" s="659">
        <f>(2.5+1)*2</f>
        <v>7</v>
      </c>
      <c r="H2683" s="581"/>
      <c r="I2683" s="612">
        <f t="shared" si="280"/>
        <v>3.55</v>
      </c>
      <c r="J2683" s="598">
        <f t="shared" si="279"/>
        <v>24.85</v>
      </c>
      <c r="K2683" s="581"/>
    </row>
    <row r="2684" spans="1:11">
      <c r="A2684" s="568"/>
      <c r="B2684" s="593" t="s">
        <v>1261</v>
      </c>
      <c r="C2684" s="577"/>
      <c r="D2684" s="578">
        <v>-1</v>
      </c>
      <c r="E2684" s="579" t="s">
        <v>8</v>
      </c>
      <c r="F2684" s="569">
        <v>1</v>
      </c>
      <c r="G2684" s="671">
        <v>0.75</v>
      </c>
      <c r="H2684" s="598"/>
      <c r="I2684" s="612">
        <v>2.1</v>
      </c>
      <c r="J2684" s="598">
        <f t="shared" si="279"/>
        <v>-1.58</v>
      </c>
      <c r="K2684" s="581"/>
    </row>
    <row r="2685" spans="1:11">
      <c r="A2685" s="568"/>
      <c r="B2685" s="593" t="s">
        <v>1263</v>
      </c>
      <c r="C2685" s="577"/>
      <c r="D2685" s="578">
        <v>-1</v>
      </c>
      <c r="E2685" s="579" t="s">
        <v>8</v>
      </c>
      <c r="F2685" s="569">
        <v>1</v>
      </c>
      <c r="G2685" s="659">
        <v>1.2</v>
      </c>
      <c r="H2685" s="581"/>
      <c r="I2685" s="612">
        <v>2.1</v>
      </c>
      <c r="J2685" s="598">
        <f t="shared" si="279"/>
        <v>-2.52</v>
      </c>
      <c r="K2685" s="581"/>
    </row>
    <row r="2686" spans="1:11">
      <c r="A2686" s="568"/>
      <c r="B2686" s="593" t="s">
        <v>1099</v>
      </c>
      <c r="C2686" s="577"/>
      <c r="D2686" s="578">
        <v>1</v>
      </c>
      <c r="E2686" s="579" t="s">
        <v>8</v>
      </c>
      <c r="F2686" s="569">
        <v>2</v>
      </c>
      <c r="G2686" s="659">
        <f>(1.5+1.2)*2</f>
        <v>5.4</v>
      </c>
      <c r="H2686" s="581"/>
      <c r="I2686" s="612">
        <f>4-0.45</f>
        <v>3.55</v>
      </c>
      <c r="J2686" s="598">
        <f t="shared" si="279"/>
        <v>38.340000000000003</v>
      </c>
      <c r="K2686" s="581"/>
    </row>
    <row r="2687" spans="1:11">
      <c r="A2687" s="568"/>
      <c r="B2687" s="593" t="s">
        <v>1261</v>
      </c>
      <c r="C2687" s="577"/>
      <c r="D2687" s="578">
        <v>-1</v>
      </c>
      <c r="E2687" s="579" t="s">
        <v>8</v>
      </c>
      <c r="F2687" s="569">
        <v>2</v>
      </c>
      <c r="G2687" s="671">
        <v>0.75</v>
      </c>
      <c r="H2687" s="598"/>
      <c r="I2687" s="612">
        <v>2.1</v>
      </c>
      <c r="J2687" s="598">
        <f t="shared" si="279"/>
        <v>-3.15</v>
      </c>
      <c r="K2687" s="581"/>
    </row>
    <row r="2688" spans="1:11">
      <c r="A2688" s="568"/>
      <c r="B2688" s="593" t="s">
        <v>1262</v>
      </c>
      <c r="C2688" s="577"/>
      <c r="D2688" s="578">
        <v>-1</v>
      </c>
      <c r="E2688" s="579" t="s">
        <v>8</v>
      </c>
      <c r="F2688" s="569">
        <v>1</v>
      </c>
      <c r="G2688" s="671">
        <v>0.6</v>
      </c>
      <c r="H2688" s="598"/>
      <c r="I2688" s="612">
        <v>0.75</v>
      </c>
      <c r="J2688" s="598">
        <f t="shared" si="279"/>
        <v>-0.45</v>
      </c>
      <c r="K2688" s="581"/>
    </row>
    <row r="2689" spans="1:11">
      <c r="A2689" s="568"/>
      <c r="B2689" s="593" t="s">
        <v>1233</v>
      </c>
      <c r="C2689" s="577"/>
      <c r="D2689" s="578">
        <v>1</v>
      </c>
      <c r="E2689" s="579" t="s">
        <v>8</v>
      </c>
      <c r="F2689" s="569">
        <v>2</v>
      </c>
      <c r="G2689" s="659">
        <f>(2.2+2.2)*2</f>
        <v>8.8000000000000007</v>
      </c>
      <c r="H2689" s="581"/>
      <c r="I2689" s="612">
        <f t="shared" si="280"/>
        <v>3.55</v>
      </c>
      <c r="J2689" s="598">
        <f t="shared" si="279"/>
        <v>62.48</v>
      </c>
      <c r="K2689" s="581"/>
    </row>
    <row r="2690" spans="1:11">
      <c r="A2690" s="568"/>
      <c r="B2690" s="593" t="s">
        <v>29</v>
      </c>
      <c r="C2690" s="577"/>
      <c r="D2690" s="578">
        <v>-1</v>
      </c>
      <c r="E2690" s="579" t="s">
        <v>8</v>
      </c>
      <c r="F2690" s="569">
        <v>2</v>
      </c>
      <c r="G2690" s="612">
        <v>0.9</v>
      </c>
      <c r="H2690" s="598"/>
      <c r="I2690" s="598">
        <v>2.15</v>
      </c>
      <c r="J2690" s="598">
        <f t="shared" si="279"/>
        <v>-3.87</v>
      </c>
      <c r="K2690" s="581"/>
    </row>
    <row r="2691" spans="1:11">
      <c r="A2691" s="568"/>
      <c r="B2691" s="593" t="s">
        <v>1262</v>
      </c>
      <c r="C2691" s="577"/>
      <c r="D2691" s="578">
        <v>-1</v>
      </c>
      <c r="E2691" s="579" t="s">
        <v>8</v>
      </c>
      <c r="F2691" s="569">
        <v>2</v>
      </c>
      <c r="G2691" s="671">
        <v>0.6</v>
      </c>
      <c r="H2691" s="598"/>
      <c r="I2691" s="612">
        <v>0.75</v>
      </c>
      <c r="J2691" s="598">
        <f>ROUNDUP(PRODUCT(D2691:I2691),2)</f>
        <v>-0.9</v>
      </c>
      <c r="K2691" s="581"/>
    </row>
    <row r="2692" spans="1:11">
      <c r="A2692" s="568"/>
      <c r="B2692" s="593" t="s">
        <v>1110</v>
      </c>
      <c r="C2692" s="577"/>
      <c r="D2692" s="578">
        <v>1</v>
      </c>
      <c r="E2692" s="579" t="s">
        <v>8</v>
      </c>
      <c r="F2692" s="569">
        <v>1</v>
      </c>
      <c r="G2692" s="659">
        <f>(1.5+1.6)*2</f>
        <v>6.2</v>
      </c>
      <c r="H2692" s="581"/>
      <c r="I2692" s="612">
        <f t="shared" si="280"/>
        <v>3.55</v>
      </c>
      <c r="J2692" s="598">
        <f>ROUNDUP(PRODUCT(D2692:I2692),2)</f>
        <v>22.01</v>
      </c>
      <c r="K2692" s="581"/>
    </row>
    <row r="2693" spans="1:11">
      <c r="A2693" s="568"/>
      <c r="B2693" s="593" t="s">
        <v>1261</v>
      </c>
      <c r="C2693" s="577"/>
      <c r="D2693" s="578">
        <v>-1</v>
      </c>
      <c r="E2693" s="579" t="s">
        <v>8</v>
      </c>
      <c r="F2693" s="569">
        <v>2</v>
      </c>
      <c r="G2693" s="671">
        <v>0.75</v>
      </c>
      <c r="H2693" s="598"/>
      <c r="I2693" s="612">
        <v>2.1</v>
      </c>
      <c r="J2693" s="598">
        <f>ROUNDUP(PRODUCT(D2693:I2693),2)</f>
        <v>-3.15</v>
      </c>
      <c r="K2693" s="581"/>
    </row>
    <row r="2694" spans="1:11">
      <c r="A2694" s="568"/>
      <c r="B2694" s="593" t="s">
        <v>1262</v>
      </c>
      <c r="C2694" s="577"/>
      <c r="D2694" s="578">
        <v>-1</v>
      </c>
      <c r="E2694" s="579" t="s">
        <v>8</v>
      </c>
      <c r="F2694" s="569">
        <v>1</v>
      </c>
      <c r="G2694" s="671">
        <v>0.6</v>
      </c>
      <c r="H2694" s="598"/>
      <c r="I2694" s="612">
        <v>0.75</v>
      </c>
      <c r="J2694" s="598">
        <f>ROUNDUP(PRODUCT(D2694:I2694),2)</f>
        <v>-0.45</v>
      </c>
      <c r="K2694" s="581"/>
    </row>
    <row r="2695" spans="1:11">
      <c r="A2695" s="568"/>
      <c r="B2695" s="593" t="s">
        <v>794</v>
      </c>
      <c r="C2695" s="577"/>
      <c r="G2695" s="598"/>
      <c r="H2695" s="598"/>
      <c r="I2695" s="598"/>
      <c r="J2695" s="598"/>
      <c r="K2695" s="581"/>
    </row>
    <row r="2696" spans="1:11">
      <c r="A2696" s="568"/>
      <c r="B2696" s="593" t="s">
        <v>608</v>
      </c>
      <c r="C2696" s="577"/>
      <c r="D2696" s="578">
        <v>1</v>
      </c>
      <c r="E2696" s="579" t="s">
        <v>8</v>
      </c>
      <c r="F2696" s="569">
        <v>1</v>
      </c>
      <c r="G2696" s="612">
        <v>3.5</v>
      </c>
      <c r="H2696" s="598">
        <v>3.5</v>
      </c>
      <c r="I2696" s="598"/>
      <c r="J2696" s="598">
        <f t="shared" ref="J2696:J2697" si="281">ROUNDUP(PRODUCT(D2696:I2696),2)</f>
        <v>12.25</v>
      </c>
      <c r="K2696" s="581"/>
    </row>
    <row r="2697" spans="1:11">
      <c r="A2697" s="568"/>
      <c r="B2697" s="593" t="s">
        <v>787</v>
      </c>
      <c r="C2697" s="577"/>
      <c r="D2697" s="578">
        <v>1</v>
      </c>
      <c r="E2697" s="579" t="s">
        <v>8</v>
      </c>
      <c r="F2697" s="569">
        <v>1</v>
      </c>
      <c r="G2697" s="612">
        <v>14</v>
      </c>
      <c r="H2697" s="598"/>
      <c r="I2697" s="598">
        <v>2.5</v>
      </c>
      <c r="J2697" s="598">
        <f t="shared" si="281"/>
        <v>35</v>
      </c>
      <c r="K2697" s="581"/>
    </row>
    <row r="2698" spans="1:11">
      <c r="A2698" s="568"/>
      <c r="B2698" s="584" t="s">
        <v>1234</v>
      </c>
      <c r="C2698" s="577"/>
      <c r="G2698" s="598"/>
      <c r="H2698" s="598"/>
      <c r="I2698" s="598"/>
      <c r="J2698" s="598"/>
      <c r="K2698" s="581"/>
    </row>
    <row r="2699" spans="1:11">
      <c r="A2699" s="568"/>
      <c r="B2699" s="584" t="s">
        <v>13</v>
      </c>
      <c r="C2699" s="577"/>
      <c r="G2699" s="598"/>
      <c r="H2699" s="598"/>
      <c r="I2699" s="598"/>
      <c r="J2699" s="598"/>
      <c r="K2699" s="581"/>
    </row>
    <row r="2700" spans="1:11">
      <c r="A2700" s="568"/>
      <c r="B2700" s="593" t="s">
        <v>1225</v>
      </c>
      <c r="C2700" s="577"/>
      <c r="D2700" s="578">
        <v>3</v>
      </c>
      <c r="E2700" s="579" t="s">
        <v>8</v>
      </c>
      <c r="F2700" s="569">
        <v>5</v>
      </c>
      <c r="G2700" s="598">
        <v>7.7</v>
      </c>
      <c r="I2700" s="598">
        <f>3.4-0.45</f>
        <v>2.9499999999999997</v>
      </c>
      <c r="J2700" s="598">
        <f t="shared" ref="J2700:J2714" si="282">ROUNDUP(PRODUCT(D2700:I2700),2)</f>
        <v>340.73</v>
      </c>
      <c r="K2700" s="581"/>
    </row>
    <row r="2701" spans="1:11">
      <c r="A2701" s="568"/>
      <c r="B2701" s="593" t="s">
        <v>1261</v>
      </c>
      <c r="C2701" s="577"/>
      <c r="D2701" s="578">
        <v>-3</v>
      </c>
      <c r="E2701" s="579" t="s">
        <v>8</v>
      </c>
      <c r="F2701" s="569">
        <v>5</v>
      </c>
      <c r="G2701" s="671">
        <v>0.75</v>
      </c>
      <c r="H2701" s="598"/>
      <c r="I2701" s="612">
        <v>2.1</v>
      </c>
      <c r="J2701" s="598">
        <f t="shared" si="282"/>
        <v>-23.630000000000003</v>
      </c>
      <c r="K2701" s="581"/>
    </row>
    <row r="2702" spans="1:11">
      <c r="A2702" s="568"/>
      <c r="B2702" s="593" t="s">
        <v>1262</v>
      </c>
      <c r="C2702" s="577"/>
      <c r="D2702" s="578">
        <v>-3</v>
      </c>
      <c r="E2702" s="579" t="s">
        <v>8</v>
      </c>
      <c r="F2702" s="569">
        <v>5</v>
      </c>
      <c r="G2702" s="671">
        <v>0.6</v>
      </c>
      <c r="H2702" s="598"/>
      <c r="I2702" s="612">
        <v>0.75</v>
      </c>
      <c r="J2702" s="598">
        <f t="shared" si="282"/>
        <v>-6.75</v>
      </c>
      <c r="K2702" s="581"/>
    </row>
    <row r="2703" spans="1:11">
      <c r="A2703" s="568"/>
      <c r="B2703" s="593" t="s">
        <v>1236</v>
      </c>
      <c r="C2703" s="577"/>
      <c r="D2703" s="578">
        <v>3</v>
      </c>
      <c r="E2703" s="579" t="s">
        <v>8</v>
      </c>
      <c r="F2703" s="569">
        <v>1</v>
      </c>
      <c r="G2703" s="598">
        <v>22.5</v>
      </c>
      <c r="I2703" s="598">
        <f>3.4-0.45</f>
        <v>2.9499999999999997</v>
      </c>
      <c r="J2703" s="598">
        <f t="shared" si="282"/>
        <v>199.13</v>
      </c>
      <c r="K2703" s="581"/>
    </row>
    <row r="2704" spans="1:11">
      <c r="A2704" s="568"/>
      <c r="B2704" s="593" t="s">
        <v>1263</v>
      </c>
      <c r="C2704" s="577"/>
      <c r="D2704" s="578">
        <v>-3</v>
      </c>
      <c r="E2704" s="579" t="s">
        <v>8</v>
      </c>
      <c r="F2704" s="569">
        <v>1</v>
      </c>
      <c r="G2704" s="659">
        <v>1.2</v>
      </c>
      <c r="H2704" s="581"/>
      <c r="I2704" s="612">
        <v>2.1</v>
      </c>
      <c r="J2704" s="598">
        <f t="shared" si="282"/>
        <v>-7.56</v>
      </c>
      <c r="K2704" s="581"/>
    </row>
    <row r="2705" spans="1:11">
      <c r="A2705" s="568"/>
      <c r="B2705" s="593" t="s">
        <v>1261</v>
      </c>
      <c r="C2705" s="577"/>
      <c r="D2705" s="578">
        <v>-3</v>
      </c>
      <c r="E2705" s="579" t="s">
        <v>8</v>
      </c>
      <c r="F2705" s="569">
        <v>8</v>
      </c>
      <c r="G2705" s="671">
        <v>0.75</v>
      </c>
      <c r="H2705" s="598"/>
      <c r="I2705" s="612">
        <v>2.1</v>
      </c>
      <c r="J2705" s="598">
        <f t="shared" si="282"/>
        <v>-37.799999999999997</v>
      </c>
      <c r="K2705" s="581"/>
    </row>
    <row r="2706" spans="1:11">
      <c r="A2706" s="568"/>
      <c r="B2706" s="593" t="s">
        <v>1224</v>
      </c>
      <c r="C2706" s="577"/>
      <c r="D2706" s="578">
        <v>3</v>
      </c>
      <c r="E2706" s="579" t="s">
        <v>8</v>
      </c>
      <c r="F2706" s="569">
        <v>3</v>
      </c>
      <c r="G2706" s="598">
        <f>(1.15+1.5)*2</f>
        <v>5.3</v>
      </c>
      <c r="I2706" s="598">
        <f>3.4-0.45</f>
        <v>2.9499999999999997</v>
      </c>
      <c r="J2706" s="598">
        <f t="shared" si="282"/>
        <v>140.72</v>
      </c>
      <c r="K2706" s="581"/>
    </row>
    <row r="2707" spans="1:11">
      <c r="A2707" s="568"/>
      <c r="B2707" s="593" t="s">
        <v>1261</v>
      </c>
      <c r="C2707" s="577"/>
      <c r="D2707" s="578">
        <v>-3</v>
      </c>
      <c r="E2707" s="579" t="s">
        <v>8</v>
      </c>
      <c r="F2707" s="569">
        <v>3</v>
      </c>
      <c r="G2707" s="671">
        <v>0.75</v>
      </c>
      <c r="H2707" s="598"/>
      <c r="I2707" s="612">
        <v>2.1</v>
      </c>
      <c r="J2707" s="598">
        <f t="shared" si="282"/>
        <v>-14.18</v>
      </c>
      <c r="K2707" s="581"/>
    </row>
    <row r="2708" spans="1:11">
      <c r="A2708" s="568"/>
      <c r="B2708" s="593" t="s">
        <v>1262</v>
      </c>
      <c r="C2708" s="577"/>
      <c r="D2708" s="578">
        <v>-3</v>
      </c>
      <c r="E2708" s="579" t="s">
        <v>8</v>
      </c>
      <c r="F2708" s="569">
        <v>3</v>
      </c>
      <c r="G2708" s="671">
        <v>0.6</v>
      </c>
      <c r="H2708" s="598"/>
      <c r="I2708" s="612">
        <v>0.75</v>
      </c>
      <c r="J2708" s="598">
        <f t="shared" si="282"/>
        <v>-4.05</v>
      </c>
      <c r="K2708" s="581"/>
    </row>
    <row r="2709" spans="1:11">
      <c r="A2709" s="568"/>
      <c r="B2709" s="593" t="s">
        <v>1224</v>
      </c>
      <c r="C2709" s="577"/>
      <c r="D2709" s="578">
        <v>3</v>
      </c>
      <c r="E2709" s="579" t="s">
        <v>8</v>
      </c>
      <c r="F2709" s="569">
        <v>1</v>
      </c>
      <c r="G2709" s="598">
        <f>(1.325+1.5)*2</f>
        <v>5.65</v>
      </c>
      <c r="I2709" s="598">
        <f>3.4-0.45</f>
        <v>2.9499999999999997</v>
      </c>
      <c r="J2709" s="598">
        <f t="shared" si="282"/>
        <v>50.01</v>
      </c>
      <c r="K2709" s="581"/>
    </row>
    <row r="2710" spans="1:11">
      <c r="A2710" s="568"/>
      <c r="B2710" s="593" t="s">
        <v>1261</v>
      </c>
      <c r="C2710" s="577"/>
      <c r="D2710" s="578">
        <v>-3</v>
      </c>
      <c r="E2710" s="579" t="s">
        <v>8</v>
      </c>
      <c r="F2710" s="569">
        <v>1</v>
      </c>
      <c r="G2710" s="671">
        <v>0.75</v>
      </c>
      <c r="H2710" s="598"/>
      <c r="I2710" s="612">
        <v>2.1</v>
      </c>
      <c r="J2710" s="598">
        <f t="shared" si="282"/>
        <v>-4.7299999999999995</v>
      </c>
      <c r="K2710" s="581"/>
    </row>
    <row r="2711" spans="1:11">
      <c r="A2711" s="568"/>
      <c r="B2711" s="593" t="s">
        <v>1262</v>
      </c>
      <c r="C2711" s="577"/>
      <c r="D2711" s="578">
        <v>-3</v>
      </c>
      <c r="E2711" s="579" t="s">
        <v>8</v>
      </c>
      <c r="F2711" s="569">
        <v>1</v>
      </c>
      <c r="G2711" s="671">
        <v>0.6</v>
      </c>
      <c r="H2711" s="598"/>
      <c r="I2711" s="612">
        <v>0.75</v>
      </c>
      <c r="J2711" s="598">
        <f t="shared" si="282"/>
        <v>-1.35</v>
      </c>
      <c r="K2711" s="581"/>
    </row>
    <row r="2712" spans="1:11">
      <c r="A2712" s="568"/>
      <c r="B2712" s="593" t="s">
        <v>1099</v>
      </c>
      <c r="C2712" s="577"/>
      <c r="D2712" s="578">
        <v>3</v>
      </c>
      <c r="E2712" s="579" t="s">
        <v>8</v>
      </c>
      <c r="F2712" s="569">
        <v>4</v>
      </c>
      <c r="G2712" s="598">
        <f>(1.25+1.5)*2</f>
        <v>5.5</v>
      </c>
      <c r="I2712" s="598">
        <f>3.4-0.45</f>
        <v>2.9499999999999997</v>
      </c>
      <c r="J2712" s="598">
        <f t="shared" si="282"/>
        <v>194.7</v>
      </c>
      <c r="K2712" s="581"/>
    </row>
    <row r="2713" spans="1:11">
      <c r="A2713" s="568"/>
      <c r="B2713" s="593" t="s">
        <v>1261</v>
      </c>
      <c r="C2713" s="577"/>
      <c r="D2713" s="578">
        <v>-3</v>
      </c>
      <c r="E2713" s="579" t="s">
        <v>8</v>
      </c>
      <c r="F2713" s="569">
        <v>4</v>
      </c>
      <c r="G2713" s="671">
        <v>0.75</v>
      </c>
      <c r="H2713" s="598"/>
      <c r="I2713" s="612">
        <v>2.1</v>
      </c>
      <c r="J2713" s="598">
        <f t="shared" si="282"/>
        <v>-18.899999999999999</v>
      </c>
      <c r="K2713" s="581"/>
    </row>
    <row r="2714" spans="1:11">
      <c r="A2714" s="568"/>
      <c r="B2714" s="593" t="s">
        <v>1262</v>
      </c>
      <c r="C2714" s="577"/>
      <c r="D2714" s="676">
        <v>-3</v>
      </c>
      <c r="E2714" s="677" t="s">
        <v>8</v>
      </c>
      <c r="F2714" s="678">
        <v>4</v>
      </c>
      <c r="G2714" s="671">
        <v>0.6</v>
      </c>
      <c r="H2714" s="598"/>
      <c r="I2714" s="612">
        <v>0.75</v>
      </c>
      <c r="J2714" s="598">
        <f t="shared" si="282"/>
        <v>-5.4</v>
      </c>
      <c r="K2714" s="581"/>
    </row>
    <row r="2715" spans="1:11">
      <c r="A2715" s="568"/>
      <c r="B2715" s="584" t="s">
        <v>509</v>
      </c>
      <c r="C2715" s="577"/>
      <c r="D2715" s="676"/>
      <c r="E2715" s="677"/>
      <c r="F2715" s="678"/>
      <c r="G2715" s="612"/>
      <c r="H2715" s="598"/>
      <c r="I2715" s="598"/>
      <c r="J2715" s="598"/>
      <c r="K2715" s="581"/>
    </row>
    <row r="2716" spans="1:11">
      <c r="A2716" s="568"/>
      <c r="B2716" s="593" t="s">
        <v>1420</v>
      </c>
      <c r="C2716" s="606"/>
      <c r="D2716" s="578">
        <v>1</v>
      </c>
      <c r="E2716" s="579" t="s">
        <v>8</v>
      </c>
      <c r="F2716" s="569">
        <v>1</v>
      </c>
      <c r="G2716" s="600">
        <f>(1.8+1)*2</f>
        <v>5.6</v>
      </c>
      <c r="H2716" s="603"/>
      <c r="I2716" s="603">
        <v>2.4500000000000002</v>
      </c>
      <c r="J2716" s="598">
        <f t="shared" ref="J2716:J2717" si="283">ROUNDUP(PRODUCT(D2716:I2716),2)</f>
        <v>13.72</v>
      </c>
      <c r="K2716" s="581"/>
    </row>
    <row r="2717" spans="1:11">
      <c r="A2717" s="568"/>
      <c r="B2717" s="593"/>
      <c r="C2717" s="608"/>
      <c r="D2717" s="578">
        <v>1</v>
      </c>
      <c r="E2717" s="579" t="s">
        <v>8</v>
      </c>
      <c r="F2717" s="569">
        <v>1</v>
      </c>
      <c r="G2717" s="604">
        <f>(2.4+1.8)*2</f>
        <v>8.4</v>
      </c>
      <c r="H2717" s="603"/>
      <c r="I2717" s="603">
        <v>2.4500000000000002</v>
      </c>
      <c r="J2717" s="598">
        <f t="shared" si="283"/>
        <v>20.58</v>
      </c>
      <c r="K2717" s="581"/>
    </row>
    <row r="2718" spans="1:11">
      <c r="A2718" s="568"/>
      <c r="B2718" s="593" t="s">
        <v>1424</v>
      </c>
      <c r="C2718" s="599"/>
      <c r="D2718" s="578">
        <v>1</v>
      </c>
      <c r="E2718" s="579" t="s">
        <v>8</v>
      </c>
      <c r="F2718" s="569">
        <v>1</v>
      </c>
      <c r="G2718" s="600">
        <f>(1.2+2)*2</f>
        <v>6.4</v>
      </c>
      <c r="H2718" s="600"/>
      <c r="I2718" s="600">
        <f>2.85-0.125</f>
        <v>2.7250000000000001</v>
      </c>
      <c r="J2718" s="597">
        <f t="shared" ref="J2718" si="284">PRODUCT(D2718:I2718)</f>
        <v>17.440000000000001</v>
      </c>
      <c r="K2718" s="592"/>
    </row>
    <row r="2719" spans="1:11">
      <c r="A2719" s="568"/>
      <c r="B2719" s="593" t="s">
        <v>1598</v>
      </c>
      <c r="C2719" s="577"/>
      <c r="D2719" s="578">
        <v>-1</v>
      </c>
      <c r="E2719" s="579" t="s">
        <v>8</v>
      </c>
      <c r="F2719" s="569">
        <v>1</v>
      </c>
      <c r="G2719" s="671">
        <v>0.75</v>
      </c>
      <c r="H2719" s="598"/>
      <c r="I2719" s="612">
        <v>2.1</v>
      </c>
      <c r="J2719" s="598">
        <f t="shared" ref="J2719:J2720" si="285">ROUNDUP(PRODUCT(D2719:I2719),2)</f>
        <v>-1.58</v>
      </c>
      <c r="K2719" s="592"/>
    </row>
    <row r="2720" spans="1:11">
      <c r="A2720" s="568"/>
      <c r="B2720" s="593" t="s">
        <v>1262</v>
      </c>
      <c r="C2720" s="577"/>
      <c r="D2720" s="578">
        <v>-1</v>
      </c>
      <c r="E2720" s="579" t="s">
        <v>8</v>
      </c>
      <c r="F2720" s="569">
        <v>1</v>
      </c>
      <c r="G2720" s="612">
        <v>0.6</v>
      </c>
      <c r="H2720" s="598"/>
      <c r="I2720" s="612">
        <v>0.75</v>
      </c>
      <c r="J2720" s="598">
        <f t="shared" si="285"/>
        <v>-0.45</v>
      </c>
      <c r="K2720" s="592"/>
    </row>
    <row r="2721" spans="1:13">
      <c r="A2721" s="568"/>
      <c r="B2721" s="593"/>
      <c r="C2721" s="679"/>
      <c r="D2721" s="680"/>
      <c r="E2721" s="681"/>
      <c r="F2721" s="682"/>
      <c r="G2721" s="683"/>
      <c r="H2721" s="598"/>
      <c r="I2721" s="598"/>
      <c r="J2721" s="614">
        <f>SUM(J2670:J2720)</f>
        <v>1217.0600000000002</v>
      </c>
      <c r="K2721" s="581"/>
    </row>
    <row r="2722" spans="1:13">
      <c r="A2722" s="568"/>
      <c r="B2722" s="610" t="s">
        <v>28</v>
      </c>
      <c r="C2722" s="577"/>
      <c r="G2722" s="612"/>
      <c r="H2722" s="598"/>
      <c r="I2722" s="598"/>
      <c r="J2722" s="684">
        <f>ROUNDUP(J2721,0)</f>
        <v>1218</v>
      </c>
      <c r="K2722" s="576" t="s">
        <v>9</v>
      </c>
    </row>
    <row r="2723" spans="1:13">
      <c r="A2723" s="568"/>
      <c r="B2723" s="593"/>
      <c r="C2723" s="577"/>
      <c r="G2723" s="612"/>
      <c r="H2723" s="598"/>
      <c r="I2723" s="598"/>
      <c r="J2723" s="598"/>
      <c r="K2723" s="581"/>
    </row>
    <row r="2724" spans="1:13">
      <c r="A2724" s="568"/>
      <c r="B2724" s="584" t="str">
        <f>'BOQ-C&amp;I'!C183</f>
        <v xml:space="preserve">PAINTING WORKS </v>
      </c>
      <c r="C2724" s="577"/>
      <c r="G2724" s="612"/>
      <c r="H2724" s="598"/>
      <c r="I2724" s="598"/>
      <c r="J2724" s="598"/>
      <c r="K2724" s="581"/>
    </row>
    <row r="2725" spans="1:13" ht="114.75" customHeight="1">
      <c r="A2725" s="568">
        <f>A2667+1</f>
        <v>51</v>
      </c>
      <c r="B2725" s="723" t="str">
        <f>'BOQ-C&amp;I'!C184</f>
        <v>Providing and applying three coats of Acrylic emulsion paint, with low VOC as per GS-11, anti fungal and washable of approved colour over a coat of water based primer including preparation of surface by thorough cleaning and applying two coats of premixed putty as per manufacturer’s specification fully to give an even shade before painting and curing as per manufacturers  specifications., Working at all levels and heights and as directed by Engineer- in- Charge.</v>
      </c>
      <c r="C2725" s="723"/>
      <c r="D2725" s="723"/>
      <c r="E2725" s="723"/>
      <c r="F2725" s="723"/>
      <c r="G2725" s="723"/>
      <c r="H2725" s="723"/>
      <c r="I2725" s="723"/>
      <c r="J2725" s="723"/>
      <c r="K2725" s="723"/>
    </row>
    <row r="2726" spans="1:13">
      <c r="A2726" s="568"/>
      <c r="B2726" s="584" t="s">
        <v>12</v>
      </c>
      <c r="C2726" s="577"/>
      <c r="G2726" s="612"/>
      <c r="H2726" s="598"/>
      <c r="I2726" s="598"/>
      <c r="J2726" s="598"/>
      <c r="K2726" s="588"/>
    </row>
    <row r="2727" spans="1:13">
      <c r="A2727" s="568"/>
      <c r="B2727" s="593" t="s">
        <v>1096</v>
      </c>
      <c r="C2727" s="577"/>
      <c r="D2727" s="578">
        <v>1</v>
      </c>
      <c r="E2727" s="579" t="s">
        <v>8</v>
      </c>
      <c r="F2727" s="569">
        <v>1</v>
      </c>
      <c r="G2727" s="669">
        <v>41.15</v>
      </c>
      <c r="H2727" s="685"/>
      <c r="I2727" s="598">
        <f>4-0.125</f>
        <v>3.875</v>
      </c>
      <c r="J2727" s="598">
        <f t="shared" ref="J2727:J2742" si="286">ROUNDUP(PRODUCT(D2727:I2727),2)</f>
        <v>159.45999999999998</v>
      </c>
      <c r="K2727" s="588"/>
      <c r="M2727" s="651"/>
    </row>
    <row r="2728" spans="1:13">
      <c r="A2728" s="568"/>
      <c r="B2728" s="593" t="s">
        <v>545</v>
      </c>
      <c r="C2728" s="577"/>
      <c r="D2728" s="578">
        <v>1</v>
      </c>
      <c r="E2728" s="579" t="s">
        <v>8</v>
      </c>
      <c r="F2728" s="569">
        <v>1</v>
      </c>
      <c r="G2728" s="556">
        <f>(3.8+6.4)*2</f>
        <v>20.399999999999999</v>
      </c>
      <c r="H2728" s="556"/>
      <c r="I2728" s="598">
        <f t="shared" ref="I2728:I2742" si="287">4-0.125</f>
        <v>3.875</v>
      </c>
      <c r="J2728" s="598">
        <f t="shared" si="286"/>
        <v>79.05</v>
      </c>
      <c r="K2728" s="588"/>
      <c r="M2728" s="651"/>
    </row>
    <row r="2729" spans="1:13">
      <c r="A2729" s="568"/>
      <c r="B2729" s="593" t="s">
        <v>1098</v>
      </c>
      <c r="C2729" s="577"/>
      <c r="D2729" s="578">
        <v>1</v>
      </c>
      <c r="E2729" s="579" t="s">
        <v>8</v>
      </c>
      <c r="F2729" s="569">
        <v>1</v>
      </c>
      <c r="G2729" s="556">
        <v>20.399999999999999</v>
      </c>
      <c r="H2729" s="556"/>
      <c r="I2729" s="598">
        <f t="shared" si="287"/>
        <v>3.875</v>
      </c>
      <c r="J2729" s="598">
        <f t="shared" si="286"/>
        <v>79.05</v>
      </c>
      <c r="K2729" s="588"/>
      <c r="M2729" s="651"/>
    </row>
    <row r="2730" spans="1:13">
      <c r="A2730" s="568"/>
      <c r="B2730" s="593" t="s">
        <v>592</v>
      </c>
      <c r="C2730" s="577"/>
      <c r="D2730" s="578">
        <v>1</v>
      </c>
      <c r="E2730" s="579" t="s">
        <v>8</v>
      </c>
      <c r="F2730" s="569">
        <v>1</v>
      </c>
      <c r="G2730" s="556">
        <v>20.399999999999999</v>
      </c>
      <c r="H2730" s="556"/>
      <c r="I2730" s="598">
        <f t="shared" si="287"/>
        <v>3.875</v>
      </c>
      <c r="J2730" s="598">
        <f t="shared" si="286"/>
        <v>79.05</v>
      </c>
      <c r="K2730" s="588"/>
      <c r="M2730" s="651"/>
    </row>
    <row r="2731" spans="1:13">
      <c r="A2731" s="568"/>
      <c r="B2731" s="593" t="s">
        <v>1100</v>
      </c>
      <c r="C2731" s="577"/>
      <c r="D2731" s="578">
        <v>1</v>
      </c>
      <c r="E2731" s="579" t="s">
        <v>8</v>
      </c>
      <c r="F2731" s="569">
        <v>1</v>
      </c>
      <c r="G2731" s="556">
        <v>30.8</v>
      </c>
      <c r="H2731" s="556"/>
      <c r="I2731" s="598">
        <f t="shared" si="287"/>
        <v>3.875</v>
      </c>
      <c r="J2731" s="598">
        <f t="shared" si="286"/>
        <v>119.35</v>
      </c>
      <c r="K2731" s="588"/>
      <c r="M2731" s="651"/>
    </row>
    <row r="2732" spans="1:13">
      <c r="A2732" s="568"/>
      <c r="B2732" s="593" t="s">
        <v>584</v>
      </c>
      <c r="C2732" s="577"/>
      <c r="D2732" s="578">
        <v>1</v>
      </c>
      <c r="E2732" s="579" t="s">
        <v>8</v>
      </c>
      <c r="F2732" s="569">
        <v>1</v>
      </c>
      <c r="G2732" s="659">
        <v>20.149999999999999</v>
      </c>
      <c r="H2732" s="598"/>
      <c r="I2732" s="598">
        <f t="shared" si="287"/>
        <v>3.875</v>
      </c>
      <c r="J2732" s="598">
        <f t="shared" si="286"/>
        <v>78.09</v>
      </c>
      <c r="K2732" s="588"/>
      <c r="M2732" s="651"/>
    </row>
    <row r="2733" spans="1:13">
      <c r="A2733" s="568"/>
      <c r="B2733" s="593" t="s">
        <v>1105</v>
      </c>
      <c r="C2733" s="577"/>
      <c r="D2733" s="578">
        <v>1</v>
      </c>
      <c r="E2733" s="579" t="s">
        <v>8</v>
      </c>
      <c r="F2733" s="569">
        <v>1</v>
      </c>
      <c r="G2733" s="659">
        <v>37.049999999999997</v>
      </c>
      <c r="H2733" s="598"/>
      <c r="I2733" s="598">
        <f t="shared" si="287"/>
        <v>3.875</v>
      </c>
      <c r="J2733" s="598">
        <f t="shared" si="286"/>
        <v>143.57</v>
      </c>
      <c r="K2733" s="588"/>
      <c r="M2733" s="651"/>
    </row>
    <row r="2734" spans="1:13">
      <c r="A2734" s="568"/>
      <c r="B2734" s="593" t="s">
        <v>1101</v>
      </c>
      <c r="C2734" s="577"/>
      <c r="D2734" s="578">
        <v>1</v>
      </c>
      <c r="E2734" s="579" t="s">
        <v>8</v>
      </c>
      <c r="F2734" s="569">
        <v>2</v>
      </c>
      <c r="G2734" s="556">
        <f>(1.3+0.7)*2</f>
        <v>4</v>
      </c>
      <c r="H2734" s="556"/>
      <c r="I2734" s="598">
        <f t="shared" si="287"/>
        <v>3.875</v>
      </c>
      <c r="J2734" s="598">
        <f t="shared" si="286"/>
        <v>31</v>
      </c>
      <c r="K2734" s="588"/>
      <c r="M2734" s="651"/>
    </row>
    <row r="2735" spans="1:13">
      <c r="A2735" s="568"/>
      <c r="B2735" s="593" t="s">
        <v>1240</v>
      </c>
      <c r="C2735" s="577"/>
      <c r="D2735" s="578">
        <v>1</v>
      </c>
      <c r="E2735" s="579" t="s">
        <v>8</v>
      </c>
      <c r="F2735" s="569">
        <v>1</v>
      </c>
      <c r="G2735" s="556">
        <f>13.2+9.3+2.1</f>
        <v>24.6</v>
      </c>
      <c r="H2735" s="556"/>
      <c r="I2735" s="598">
        <f t="shared" si="287"/>
        <v>3.875</v>
      </c>
      <c r="J2735" s="598">
        <f t="shared" si="286"/>
        <v>95.33</v>
      </c>
      <c r="K2735" s="588"/>
      <c r="M2735" s="651"/>
    </row>
    <row r="2736" spans="1:13">
      <c r="A2736" s="568"/>
      <c r="B2736" s="593" t="s">
        <v>59</v>
      </c>
      <c r="C2736" s="577"/>
      <c r="D2736" s="578">
        <v>1</v>
      </c>
      <c r="E2736" s="579" t="s">
        <v>8</v>
      </c>
      <c r="F2736" s="569">
        <v>1</v>
      </c>
      <c r="G2736" s="556">
        <f>3.7+0.45+0.45+0.45+3.7+1.2+1+1.02+0.45+1+1.2</f>
        <v>14.619999999999997</v>
      </c>
      <c r="H2736" s="556"/>
      <c r="I2736" s="598">
        <f t="shared" si="287"/>
        <v>3.875</v>
      </c>
      <c r="J2736" s="598">
        <f t="shared" si="286"/>
        <v>56.66</v>
      </c>
      <c r="K2736" s="588"/>
      <c r="M2736" s="651"/>
    </row>
    <row r="2737" spans="1:13">
      <c r="A2737" s="568"/>
      <c r="B2737" s="593" t="s">
        <v>1241</v>
      </c>
      <c r="C2737" s="577"/>
      <c r="D2737" s="578">
        <v>1</v>
      </c>
      <c r="E2737" s="579" t="s">
        <v>8</v>
      </c>
      <c r="F2737" s="569">
        <v>2</v>
      </c>
      <c r="G2737" s="556">
        <v>14.1</v>
      </c>
      <c r="H2737" s="556"/>
      <c r="I2737" s="598">
        <f t="shared" si="287"/>
        <v>3.875</v>
      </c>
      <c r="J2737" s="598">
        <f t="shared" si="286"/>
        <v>109.28</v>
      </c>
      <c r="K2737" s="588"/>
      <c r="M2737" s="651"/>
    </row>
    <row r="2738" spans="1:13">
      <c r="A2738" s="568"/>
      <c r="B2738" s="593" t="s">
        <v>1230</v>
      </c>
      <c r="C2738" s="577"/>
      <c r="D2738" s="578">
        <v>1</v>
      </c>
      <c r="E2738" s="579" t="s">
        <v>8</v>
      </c>
      <c r="F2738" s="569">
        <v>1</v>
      </c>
      <c r="G2738" s="556">
        <f>(3.3+1.9)*2</f>
        <v>10.399999999999999</v>
      </c>
      <c r="H2738" s="556"/>
      <c r="I2738" s="598">
        <f t="shared" si="287"/>
        <v>3.875</v>
      </c>
      <c r="J2738" s="598">
        <f t="shared" si="286"/>
        <v>40.299999999999997</v>
      </c>
      <c r="K2738" s="588"/>
      <c r="M2738" s="651"/>
    </row>
    <row r="2739" spans="1:13">
      <c r="A2739" s="568"/>
      <c r="B2739" s="593" t="s">
        <v>1104</v>
      </c>
      <c r="C2739" s="577"/>
      <c r="D2739" s="578">
        <v>1</v>
      </c>
      <c r="E2739" s="579" t="s">
        <v>8</v>
      </c>
      <c r="F2739" s="569">
        <v>1</v>
      </c>
      <c r="G2739" s="670">
        <f>4.2+0.3+0.8+12</f>
        <v>17.3</v>
      </c>
      <c r="H2739" s="556"/>
      <c r="I2739" s="598">
        <f t="shared" si="287"/>
        <v>3.875</v>
      </c>
      <c r="J2739" s="598">
        <f t="shared" si="286"/>
        <v>67.040000000000006</v>
      </c>
      <c r="K2739" s="588"/>
      <c r="M2739" s="651"/>
    </row>
    <row r="2740" spans="1:13">
      <c r="A2740" s="568"/>
      <c r="B2740" s="593" t="s">
        <v>1242</v>
      </c>
      <c r="C2740" s="577"/>
      <c r="D2740" s="578">
        <v>1</v>
      </c>
      <c r="E2740" s="579" t="s">
        <v>8</v>
      </c>
      <c r="F2740" s="569">
        <v>2</v>
      </c>
      <c r="G2740" s="670">
        <f>(4.1+3.8)*2</f>
        <v>15.799999999999999</v>
      </c>
      <c r="H2740" s="556"/>
      <c r="I2740" s="598">
        <f t="shared" si="287"/>
        <v>3.875</v>
      </c>
      <c r="J2740" s="598">
        <f t="shared" si="286"/>
        <v>122.45</v>
      </c>
      <c r="K2740" s="588"/>
      <c r="M2740" s="651"/>
    </row>
    <row r="2741" spans="1:13">
      <c r="A2741" s="568"/>
      <c r="B2741" s="593" t="s">
        <v>1110</v>
      </c>
      <c r="C2741" s="577"/>
      <c r="D2741" s="578">
        <v>1</v>
      </c>
      <c r="E2741" s="579" t="s">
        <v>8</v>
      </c>
      <c r="F2741" s="569">
        <v>1</v>
      </c>
      <c r="G2741" s="659">
        <f>(4.8+3.8)*2</f>
        <v>17.2</v>
      </c>
      <c r="H2741" s="598"/>
      <c r="I2741" s="598">
        <f t="shared" si="287"/>
        <v>3.875</v>
      </c>
      <c r="J2741" s="598">
        <f t="shared" si="286"/>
        <v>66.650000000000006</v>
      </c>
      <c r="K2741" s="588"/>
      <c r="M2741" s="651"/>
    </row>
    <row r="2742" spans="1:13">
      <c r="A2742" s="568"/>
      <c r="B2742" s="593" t="s">
        <v>1104</v>
      </c>
      <c r="C2742" s="577"/>
      <c r="D2742" s="578">
        <v>1</v>
      </c>
      <c r="E2742" s="579" t="s">
        <v>8</v>
      </c>
      <c r="F2742" s="569">
        <v>1</v>
      </c>
      <c r="G2742" s="659">
        <f>24.1+0.2+0.2+0.6+0.2+0.2+1.83</f>
        <v>27.33</v>
      </c>
      <c r="H2742" s="598"/>
      <c r="I2742" s="598">
        <f t="shared" si="287"/>
        <v>3.875</v>
      </c>
      <c r="J2742" s="598">
        <f t="shared" si="286"/>
        <v>105.91000000000001</v>
      </c>
      <c r="K2742" s="588"/>
      <c r="M2742" s="651"/>
    </row>
    <row r="2743" spans="1:13">
      <c r="A2743" s="568"/>
      <c r="B2743" s="584" t="s">
        <v>1611</v>
      </c>
      <c r="C2743" s="577"/>
      <c r="G2743" s="612"/>
      <c r="H2743" s="598"/>
      <c r="I2743" s="598"/>
      <c r="J2743" s="598"/>
      <c r="K2743" s="631"/>
    </row>
    <row r="2744" spans="1:13">
      <c r="A2744" s="568"/>
      <c r="B2744" s="593" t="s">
        <v>1096</v>
      </c>
      <c r="C2744" s="577"/>
      <c r="D2744" s="578">
        <v>1</v>
      </c>
      <c r="E2744" s="579" t="s">
        <v>8</v>
      </c>
      <c r="F2744" s="569">
        <v>1</v>
      </c>
      <c r="G2744" s="659">
        <f>(1.5+1.6)*2</f>
        <v>6.2</v>
      </c>
      <c r="H2744" s="598"/>
      <c r="I2744" s="598">
        <f>4-0.375-2.25</f>
        <v>1.375</v>
      </c>
      <c r="J2744" s="598">
        <f t="shared" ref="J2744:J2752" si="288">ROUNDUP(PRODUCT(D2744:I2744),2)</f>
        <v>8.5299999999999994</v>
      </c>
      <c r="K2744" s="631"/>
    </row>
    <row r="2745" spans="1:13">
      <c r="A2745" s="568"/>
      <c r="B2745" s="593" t="s">
        <v>1105</v>
      </c>
      <c r="C2745" s="577"/>
      <c r="D2745" s="578">
        <v>1</v>
      </c>
      <c r="E2745" s="579" t="s">
        <v>8</v>
      </c>
      <c r="F2745" s="569">
        <v>1</v>
      </c>
      <c r="G2745" s="659">
        <f>(1.5+1.6)*2</f>
        <v>6.2</v>
      </c>
      <c r="H2745" s="598"/>
      <c r="I2745" s="598">
        <f t="shared" ref="I2745:I2753" si="289">4-0.375-2.25</f>
        <v>1.375</v>
      </c>
      <c r="J2745" s="598">
        <f t="shared" si="288"/>
        <v>8.5299999999999994</v>
      </c>
      <c r="K2745" s="631"/>
    </row>
    <row r="2746" spans="1:13">
      <c r="A2746" s="568"/>
      <c r="B2746" s="593" t="s">
        <v>1228</v>
      </c>
      <c r="C2746" s="577"/>
      <c r="D2746" s="578">
        <v>1</v>
      </c>
      <c r="E2746" s="579" t="s">
        <v>8</v>
      </c>
      <c r="F2746" s="569">
        <v>1</v>
      </c>
      <c r="G2746" s="659">
        <f>(2.2+2.2)*2</f>
        <v>8.8000000000000007</v>
      </c>
      <c r="H2746" s="598"/>
      <c r="I2746" s="598">
        <f t="shared" si="289"/>
        <v>1.375</v>
      </c>
      <c r="J2746" s="598">
        <f t="shared" si="288"/>
        <v>12.1</v>
      </c>
      <c r="K2746" s="631"/>
    </row>
    <row r="2747" spans="1:13">
      <c r="A2747" s="568"/>
      <c r="B2747" s="593" t="s">
        <v>592</v>
      </c>
      <c r="C2747" s="577"/>
      <c r="D2747" s="578">
        <v>1</v>
      </c>
      <c r="E2747" s="579" t="s">
        <v>8</v>
      </c>
      <c r="F2747" s="569">
        <v>1</v>
      </c>
      <c r="G2747" s="659">
        <f>(2.2+2.2)*2</f>
        <v>8.8000000000000007</v>
      </c>
      <c r="H2747" s="598"/>
      <c r="I2747" s="598">
        <f t="shared" si="289"/>
        <v>1.375</v>
      </c>
      <c r="J2747" s="598">
        <f t="shared" si="288"/>
        <v>12.1</v>
      </c>
      <c r="K2747" s="631"/>
    </row>
    <row r="2748" spans="1:13">
      <c r="A2748" s="568"/>
      <c r="B2748" s="593" t="s">
        <v>1102</v>
      </c>
      <c r="C2748" s="577"/>
      <c r="D2748" s="578">
        <v>1</v>
      </c>
      <c r="E2748" s="579" t="s">
        <v>8</v>
      </c>
      <c r="F2748" s="569">
        <v>1</v>
      </c>
      <c r="G2748" s="659">
        <f>(2.37+2.6)*2</f>
        <v>9.9400000000000013</v>
      </c>
      <c r="H2748" s="598"/>
      <c r="I2748" s="598">
        <f t="shared" si="289"/>
        <v>1.375</v>
      </c>
      <c r="J2748" s="598">
        <f t="shared" si="288"/>
        <v>13.67</v>
      </c>
      <c r="K2748" s="631"/>
    </row>
    <row r="2749" spans="1:13">
      <c r="A2749" s="568"/>
      <c r="B2749" s="593" t="s">
        <v>1103</v>
      </c>
      <c r="C2749" s="577"/>
      <c r="D2749" s="578">
        <v>1</v>
      </c>
      <c r="E2749" s="579" t="s">
        <v>8</v>
      </c>
      <c r="F2749" s="569">
        <v>1</v>
      </c>
      <c r="G2749" s="659">
        <v>10.5</v>
      </c>
      <c r="H2749" s="598"/>
      <c r="I2749" s="598">
        <f t="shared" si="289"/>
        <v>1.375</v>
      </c>
      <c r="J2749" s="598">
        <f t="shared" si="288"/>
        <v>14.44</v>
      </c>
      <c r="K2749" s="631"/>
    </row>
    <row r="2750" spans="1:13">
      <c r="A2750" s="568"/>
      <c r="B2750" s="593"/>
      <c r="C2750" s="577"/>
      <c r="D2750" s="578">
        <v>1</v>
      </c>
      <c r="E2750" s="579" t="s">
        <v>8</v>
      </c>
      <c r="F2750" s="569">
        <v>1</v>
      </c>
      <c r="G2750" s="659">
        <v>4.2</v>
      </c>
      <c r="H2750" s="598"/>
      <c r="I2750" s="598">
        <f t="shared" si="289"/>
        <v>1.375</v>
      </c>
      <c r="J2750" s="598">
        <f t="shared" si="288"/>
        <v>5.7799999999999994</v>
      </c>
      <c r="K2750" s="631"/>
    </row>
    <row r="2751" spans="1:13">
      <c r="A2751" s="568"/>
      <c r="B2751" s="593" t="s">
        <v>1233</v>
      </c>
      <c r="C2751" s="577"/>
      <c r="D2751" s="578">
        <v>1</v>
      </c>
      <c r="E2751" s="579" t="s">
        <v>8</v>
      </c>
      <c r="F2751" s="569">
        <v>2</v>
      </c>
      <c r="G2751" s="659">
        <f>(2.2+2.2)*2</f>
        <v>8.8000000000000007</v>
      </c>
      <c r="H2751" s="598"/>
      <c r="I2751" s="598">
        <f t="shared" si="289"/>
        <v>1.375</v>
      </c>
      <c r="J2751" s="598">
        <f t="shared" si="288"/>
        <v>24.2</v>
      </c>
      <c r="K2751" s="631"/>
    </row>
    <row r="2752" spans="1:13">
      <c r="A2752" s="568"/>
      <c r="B2752" s="593" t="s">
        <v>1110</v>
      </c>
      <c r="C2752" s="577"/>
      <c r="D2752" s="578">
        <v>1</v>
      </c>
      <c r="E2752" s="579" t="s">
        <v>8</v>
      </c>
      <c r="F2752" s="569">
        <v>1</v>
      </c>
      <c r="G2752" s="659">
        <f>(1.5+1.6)*2</f>
        <v>6.2</v>
      </c>
      <c r="H2752" s="598"/>
      <c r="I2752" s="598">
        <f t="shared" si="289"/>
        <v>1.375</v>
      </c>
      <c r="J2752" s="598">
        <f t="shared" si="288"/>
        <v>8.5299999999999994</v>
      </c>
      <c r="K2752" s="631"/>
    </row>
    <row r="2753" spans="1:13">
      <c r="A2753" s="568"/>
      <c r="B2753" s="593" t="s">
        <v>1389</v>
      </c>
      <c r="C2753" s="599"/>
      <c r="D2753" s="578">
        <v>1</v>
      </c>
      <c r="E2753" s="579" t="s">
        <v>8</v>
      </c>
      <c r="F2753" s="569">
        <v>1</v>
      </c>
      <c r="G2753" s="600">
        <f>(1.2+2)*2</f>
        <v>6.4</v>
      </c>
      <c r="H2753" s="598"/>
      <c r="I2753" s="598">
        <f t="shared" si="289"/>
        <v>1.375</v>
      </c>
      <c r="J2753" s="597">
        <f t="shared" ref="J2753" si="290">PRODUCT(D2753:I2753)</f>
        <v>8.8000000000000007</v>
      </c>
      <c r="K2753" s="631"/>
    </row>
    <row r="2754" spans="1:13">
      <c r="A2754" s="568"/>
      <c r="B2754" s="593" t="s">
        <v>17</v>
      </c>
      <c r="C2754" s="577"/>
      <c r="G2754" s="612"/>
      <c r="H2754" s="598"/>
      <c r="I2754" s="598"/>
      <c r="J2754" s="598"/>
      <c r="K2754" s="588"/>
      <c r="M2754" s="651"/>
    </row>
    <row r="2755" spans="1:13">
      <c r="A2755" s="568"/>
      <c r="B2755" s="593" t="s">
        <v>19</v>
      </c>
      <c r="C2755" s="577"/>
      <c r="D2755" s="578">
        <v>-1</v>
      </c>
      <c r="E2755" s="579" t="s">
        <v>8</v>
      </c>
      <c r="F2755" s="569">
        <v>8</v>
      </c>
      <c r="G2755" s="612">
        <v>1.2</v>
      </c>
      <c r="H2755" s="598"/>
      <c r="I2755" s="598">
        <v>2.1</v>
      </c>
      <c r="J2755" s="598">
        <f t="shared" ref="J2755" si="291">ROUNDUP(PRODUCT(D2755:I2755),2)</f>
        <v>-20.16</v>
      </c>
      <c r="K2755" s="588"/>
      <c r="M2755" s="651"/>
    </row>
    <row r="2756" spans="1:13">
      <c r="A2756" s="568"/>
      <c r="B2756" s="593" t="s">
        <v>29</v>
      </c>
      <c r="C2756" s="577"/>
      <c r="D2756" s="578">
        <v>-1</v>
      </c>
      <c r="E2756" s="579" t="s">
        <v>8</v>
      </c>
      <c r="F2756" s="569">
        <v>8</v>
      </c>
      <c r="G2756" s="612">
        <v>1</v>
      </c>
      <c r="H2756" s="598"/>
      <c r="I2756" s="598">
        <v>2.1</v>
      </c>
      <c r="J2756" s="598">
        <f>ROUNDUP(PRODUCT(D2756:I2756),2)</f>
        <v>-16.8</v>
      </c>
      <c r="K2756" s="588"/>
      <c r="M2756" s="651"/>
    </row>
    <row r="2757" spans="1:13">
      <c r="A2757" s="568"/>
      <c r="B2757" s="593" t="s">
        <v>585</v>
      </c>
      <c r="C2757" s="577"/>
      <c r="D2757" s="578">
        <v>-1</v>
      </c>
      <c r="E2757" s="579" t="s">
        <v>8</v>
      </c>
      <c r="F2757" s="569">
        <v>6</v>
      </c>
      <c r="G2757" s="612">
        <v>0.9</v>
      </c>
      <c r="H2757" s="598"/>
      <c r="I2757" s="598">
        <v>2.1</v>
      </c>
      <c r="J2757" s="598">
        <f t="shared" ref="J2757:J2758" si="292">ROUNDUP(PRODUCT(D2757:I2757),2)</f>
        <v>-11.34</v>
      </c>
      <c r="K2757" s="588"/>
      <c r="M2757" s="651"/>
    </row>
    <row r="2758" spans="1:13">
      <c r="A2758" s="568"/>
      <c r="B2758" s="593" t="s">
        <v>902</v>
      </c>
      <c r="C2758" s="577"/>
      <c r="D2758" s="578">
        <v>-1</v>
      </c>
      <c r="E2758" s="579" t="s">
        <v>8</v>
      </c>
      <c r="F2758" s="569">
        <v>6</v>
      </c>
      <c r="G2758" s="612">
        <v>0.75</v>
      </c>
      <c r="H2758" s="598"/>
      <c r="I2758" s="598">
        <v>2.1</v>
      </c>
      <c r="J2758" s="598">
        <f t="shared" si="292"/>
        <v>-9.4499999999999993</v>
      </c>
      <c r="K2758" s="588"/>
      <c r="M2758" s="651"/>
    </row>
    <row r="2759" spans="1:13">
      <c r="A2759" s="568"/>
      <c r="B2759" s="593" t="s">
        <v>1190</v>
      </c>
      <c r="C2759" s="577"/>
      <c r="D2759" s="578">
        <v>-1</v>
      </c>
      <c r="E2759" s="579" t="s">
        <v>8</v>
      </c>
      <c r="F2759" s="569">
        <v>2</v>
      </c>
      <c r="G2759" s="612">
        <v>1</v>
      </c>
      <c r="H2759" s="598"/>
      <c r="I2759" s="598">
        <v>2.1</v>
      </c>
      <c r="J2759" s="598">
        <f>ROUNDUP(PRODUCT(D2759:I2759),2)</f>
        <v>-4.2</v>
      </c>
      <c r="K2759" s="588"/>
      <c r="M2759" s="651"/>
    </row>
    <row r="2760" spans="1:13">
      <c r="A2760" s="568"/>
      <c r="B2760" s="593" t="s">
        <v>1243</v>
      </c>
      <c r="C2760" s="577"/>
      <c r="D2760" s="578">
        <v>-1</v>
      </c>
      <c r="E2760" s="579" t="s">
        <v>8</v>
      </c>
      <c r="F2760" s="569">
        <v>3</v>
      </c>
      <c r="G2760" s="612">
        <v>1.2</v>
      </c>
      <c r="H2760" s="598"/>
      <c r="I2760" s="598">
        <v>2.1</v>
      </c>
      <c r="J2760" s="598">
        <f>ROUNDUP(PRODUCT(D2760:I2760),2)</f>
        <v>-7.56</v>
      </c>
      <c r="K2760" s="588"/>
      <c r="M2760" s="651"/>
    </row>
    <row r="2761" spans="1:13">
      <c r="A2761" s="568"/>
      <c r="B2761" s="593" t="s">
        <v>1244</v>
      </c>
      <c r="C2761" s="577"/>
      <c r="D2761" s="578">
        <v>-1</v>
      </c>
      <c r="E2761" s="579" t="s">
        <v>8</v>
      </c>
      <c r="F2761" s="569">
        <v>1</v>
      </c>
      <c r="G2761" s="612">
        <v>1</v>
      </c>
      <c r="H2761" s="598"/>
      <c r="I2761" s="598">
        <v>2.1</v>
      </c>
      <c r="J2761" s="598">
        <f t="shared" ref="J2761:J2763" si="293">ROUNDUP(PRODUCT(D2761:I2761),2)</f>
        <v>-2.1</v>
      </c>
      <c r="K2761" s="588"/>
      <c r="M2761" s="651"/>
    </row>
    <row r="2762" spans="1:13">
      <c r="A2762" s="568"/>
      <c r="B2762" s="593" t="s">
        <v>579</v>
      </c>
      <c r="C2762" s="577"/>
      <c r="D2762" s="578">
        <v>-1</v>
      </c>
      <c r="E2762" s="579" t="s">
        <v>8</v>
      </c>
      <c r="F2762" s="569">
        <v>9</v>
      </c>
      <c r="G2762" s="612">
        <v>1.5</v>
      </c>
      <c r="H2762" s="598"/>
      <c r="I2762" s="598">
        <v>1.2</v>
      </c>
      <c r="J2762" s="598">
        <f t="shared" si="293"/>
        <v>-16.2</v>
      </c>
      <c r="K2762" s="588"/>
      <c r="M2762" s="651"/>
    </row>
    <row r="2763" spans="1:13">
      <c r="A2763" s="568"/>
      <c r="B2763" s="593" t="s">
        <v>586</v>
      </c>
      <c r="C2763" s="577"/>
      <c r="D2763" s="578">
        <v>-1</v>
      </c>
      <c r="E2763" s="579" t="s">
        <v>8</v>
      </c>
      <c r="F2763" s="569">
        <v>2</v>
      </c>
      <c r="G2763" s="612">
        <v>2.15</v>
      </c>
      <c r="H2763" s="598"/>
      <c r="I2763" s="598">
        <v>1.2</v>
      </c>
      <c r="J2763" s="598">
        <f t="shared" si="293"/>
        <v>-5.16</v>
      </c>
      <c r="K2763" s="588"/>
      <c r="M2763" s="651"/>
    </row>
    <row r="2764" spans="1:13">
      <c r="A2764" s="568"/>
      <c r="B2764" s="593" t="s">
        <v>587</v>
      </c>
      <c r="C2764" s="577"/>
      <c r="D2764" s="578">
        <v>-1</v>
      </c>
      <c r="E2764" s="579" t="s">
        <v>8</v>
      </c>
      <c r="F2764" s="569">
        <v>2</v>
      </c>
      <c r="G2764" s="612">
        <v>1.2</v>
      </c>
      <c r="H2764" s="598"/>
      <c r="I2764" s="598">
        <v>1.2</v>
      </c>
      <c r="J2764" s="598">
        <f>ROUNDUP(PRODUCT(D2764:I2764),2)</f>
        <v>-2.88</v>
      </c>
      <c r="K2764" s="588"/>
    </row>
    <row r="2765" spans="1:13">
      <c r="A2765" s="568"/>
      <c r="B2765" s="593" t="s">
        <v>1191</v>
      </c>
      <c r="C2765" s="577"/>
      <c r="D2765" s="578">
        <v>-1</v>
      </c>
      <c r="E2765" s="579" t="s">
        <v>8</v>
      </c>
      <c r="F2765" s="569">
        <v>1</v>
      </c>
      <c r="G2765" s="612">
        <v>2.15</v>
      </c>
      <c r="H2765" s="598"/>
      <c r="I2765" s="598">
        <v>0.9</v>
      </c>
      <c r="J2765" s="598">
        <f t="shared" ref="J2765:J2770" si="294">ROUNDUP(PRODUCT(D2765:I2765),2)</f>
        <v>-1.94</v>
      </c>
      <c r="K2765" s="588"/>
    </row>
    <row r="2766" spans="1:13">
      <c r="A2766" s="568"/>
      <c r="B2766" s="593" t="s">
        <v>1192</v>
      </c>
      <c r="C2766" s="577"/>
      <c r="D2766" s="578">
        <v>-1</v>
      </c>
      <c r="E2766" s="579" t="s">
        <v>8</v>
      </c>
      <c r="F2766" s="569">
        <v>1</v>
      </c>
      <c r="G2766" s="612">
        <v>1.2</v>
      </c>
      <c r="H2766" s="598"/>
      <c r="I2766" s="598">
        <v>0.9</v>
      </c>
      <c r="J2766" s="598">
        <f t="shared" si="294"/>
        <v>-1.08</v>
      </c>
      <c r="K2766" s="588"/>
    </row>
    <row r="2767" spans="1:13">
      <c r="A2767" s="568"/>
      <c r="B2767" s="593" t="s">
        <v>1217</v>
      </c>
      <c r="C2767" s="577"/>
      <c r="D2767" s="578">
        <v>-1</v>
      </c>
      <c r="E2767" s="579" t="s">
        <v>8</v>
      </c>
      <c r="F2767" s="569">
        <v>1</v>
      </c>
      <c r="G2767" s="612">
        <v>1.5</v>
      </c>
      <c r="H2767" s="598"/>
      <c r="I2767" s="598">
        <v>0.75</v>
      </c>
      <c r="J2767" s="598">
        <f t="shared" si="294"/>
        <v>-1.1300000000000001</v>
      </c>
      <c r="K2767" s="588"/>
    </row>
    <row r="2768" spans="1:13">
      <c r="A2768" s="568"/>
      <c r="B2768" s="593" t="s">
        <v>1245</v>
      </c>
      <c r="C2768" s="577"/>
      <c r="D2768" s="578">
        <v>-1</v>
      </c>
      <c r="E2768" s="579" t="s">
        <v>8</v>
      </c>
      <c r="F2768" s="569">
        <v>2</v>
      </c>
      <c r="G2768" s="612">
        <v>1.5</v>
      </c>
      <c r="H2768" s="598"/>
      <c r="I2768" s="598">
        <v>0.75</v>
      </c>
      <c r="J2768" s="598">
        <f t="shared" si="294"/>
        <v>-2.25</v>
      </c>
      <c r="K2768" s="588"/>
    </row>
    <row r="2769" spans="1:11">
      <c r="A2769" s="568"/>
      <c r="B2769" s="593" t="s">
        <v>1246</v>
      </c>
      <c r="C2769" s="577"/>
      <c r="D2769" s="578">
        <v>1</v>
      </c>
      <c r="E2769" s="579" t="s">
        <v>8</v>
      </c>
      <c r="F2769" s="569">
        <v>1</v>
      </c>
      <c r="G2769" s="612">
        <v>3</v>
      </c>
      <c r="H2769" s="598"/>
      <c r="I2769" s="598">
        <v>3</v>
      </c>
      <c r="J2769" s="598">
        <f t="shared" si="294"/>
        <v>9</v>
      </c>
      <c r="K2769" s="588"/>
    </row>
    <row r="2770" spans="1:11">
      <c r="A2770" s="568"/>
      <c r="B2770" s="593" t="s">
        <v>580</v>
      </c>
      <c r="C2770" s="577"/>
      <c r="D2770" s="578">
        <v>-1</v>
      </c>
      <c r="E2770" s="579" t="s">
        <v>8</v>
      </c>
      <c r="F2770" s="569">
        <v>2</v>
      </c>
      <c r="G2770" s="612">
        <v>0.6</v>
      </c>
      <c r="H2770" s="598"/>
      <c r="I2770" s="598">
        <v>0.75</v>
      </c>
      <c r="J2770" s="598">
        <f t="shared" si="294"/>
        <v>-0.9</v>
      </c>
      <c r="K2770" s="588"/>
    </row>
    <row r="2771" spans="1:11">
      <c r="A2771" s="568"/>
      <c r="B2771" s="584" t="s">
        <v>1234</v>
      </c>
      <c r="C2771" s="577"/>
      <c r="G2771" s="612"/>
      <c r="H2771" s="598"/>
      <c r="I2771" s="598"/>
      <c r="J2771" s="598"/>
      <c r="K2771" s="588"/>
    </row>
    <row r="2772" spans="1:11">
      <c r="A2772" s="568"/>
      <c r="B2772" s="593" t="s">
        <v>1230</v>
      </c>
      <c r="C2772" s="577"/>
      <c r="D2772" s="578">
        <v>3</v>
      </c>
      <c r="E2772" s="579" t="s">
        <v>8</v>
      </c>
      <c r="F2772" s="569">
        <v>1</v>
      </c>
      <c r="G2772" s="598">
        <f>(3.5+3.3)*2</f>
        <v>13.6</v>
      </c>
      <c r="H2772" s="598"/>
      <c r="I2772" s="598">
        <f t="shared" ref="I2772:I2782" si="295">3.4-0.125</f>
        <v>3.2749999999999999</v>
      </c>
      <c r="J2772" s="598">
        <f t="shared" ref="J2772:J2782" si="296">ROUNDUP(PRODUCT(D2772:I2772),2)</f>
        <v>133.62</v>
      </c>
      <c r="K2772" s="588"/>
    </row>
    <row r="2773" spans="1:11">
      <c r="A2773" s="568"/>
      <c r="B2773" s="629" t="s">
        <v>24</v>
      </c>
      <c r="C2773" s="577"/>
      <c r="D2773" s="578">
        <v>3</v>
      </c>
      <c r="E2773" s="579" t="s">
        <v>8</v>
      </c>
      <c r="F2773" s="569">
        <v>1</v>
      </c>
      <c r="G2773" s="598">
        <f>(3.8+2.2)*2</f>
        <v>12</v>
      </c>
      <c r="H2773" s="598"/>
      <c r="I2773" s="598">
        <f t="shared" si="295"/>
        <v>3.2749999999999999</v>
      </c>
      <c r="J2773" s="598">
        <f t="shared" si="296"/>
        <v>117.9</v>
      </c>
      <c r="K2773" s="588"/>
    </row>
    <row r="2774" spans="1:11">
      <c r="A2774" s="568"/>
      <c r="B2774" s="593" t="s">
        <v>1247</v>
      </c>
      <c r="C2774" s="577"/>
      <c r="D2774" s="578">
        <v>3</v>
      </c>
      <c r="E2774" s="579" t="s">
        <v>8</v>
      </c>
      <c r="F2774" s="569">
        <v>1</v>
      </c>
      <c r="G2774" s="598">
        <f>2.8+2.5</f>
        <v>5.3</v>
      </c>
      <c r="H2774" s="598"/>
      <c r="I2774" s="598">
        <f t="shared" si="295"/>
        <v>3.2749999999999999</v>
      </c>
      <c r="J2774" s="598">
        <f t="shared" si="296"/>
        <v>52.08</v>
      </c>
      <c r="K2774" s="588"/>
    </row>
    <row r="2775" spans="1:11">
      <c r="A2775" s="568"/>
      <c r="B2775" s="593" t="s">
        <v>1248</v>
      </c>
      <c r="C2775" s="577"/>
      <c r="D2775" s="578">
        <v>3</v>
      </c>
      <c r="E2775" s="579" t="s">
        <v>8</v>
      </c>
      <c r="F2775" s="569">
        <v>5</v>
      </c>
      <c r="G2775" s="598">
        <v>18.899999999999999</v>
      </c>
      <c r="H2775" s="598"/>
      <c r="I2775" s="598">
        <f t="shared" si="295"/>
        <v>3.2749999999999999</v>
      </c>
      <c r="J2775" s="598">
        <f t="shared" si="296"/>
        <v>928.47</v>
      </c>
      <c r="K2775" s="588"/>
    </row>
    <row r="2776" spans="1:11">
      <c r="A2776" s="568"/>
      <c r="B2776" s="593" t="s">
        <v>1249</v>
      </c>
      <c r="C2776" s="577"/>
      <c r="D2776" s="578">
        <v>3</v>
      </c>
      <c r="E2776" s="579" t="s">
        <v>8</v>
      </c>
      <c r="F2776" s="569">
        <v>1</v>
      </c>
      <c r="G2776" s="598">
        <f>0.9+0.9+1.3</f>
        <v>3.1</v>
      </c>
      <c r="H2776" s="598"/>
      <c r="I2776" s="598">
        <f t="shared" si="295"/>
        <v>3.2749999999999999</v>
      </c>
      <c r="J2776" s="598">
        <f t="shared" si="296"/>
        <v>30.46</v>
      </c>
      <c r="K2776" s="588"/>
    </row>
    <row r="2777" spans="1:11">
      <c r="A2777" s="568"/>
      <c r="B2777" s="593" t="s">
        <v>1250</v>
      </c>
      <c r="C2777" s="577"/>
      <c r="D2777" s="578">
        <v>3</v>
      </c>
      <c r="E2777" s="579" t="s">
        <v>8</v>
      </c>
      <c r="F2777" s="569">
        <v>2</v>
      </c>
      <c r="G2777" s="598">
        <f>0.9+0.9+2.8</f>
        <v>4.5999999999999996</v>
      </c>
      <c r="H2777" s="598"/>
      <c r="I2777" s="598">
        <f t="shared" si="295"/>
        <v>3.2749999999999999</v>
      </c>
      <c r="J2777" s="598">
        <f t="shared" si="296"/>
        <v>90.39</v>
      </c>
      <c r="K2777" s="588"/>
    </row>
    <row r="2778" spans="1:11">
      <c r="A2778" s="568"/>
      <c r="B2778" s="593" t="s">
        <v>1104</v>
      </c>
      <c r="C2778" s="577"/>
      <c r="D2778" s="578">
        <v>3</v>
      </c>
      <c r="E2778" s="579" t="s">
        <v>8</v>
      </c>
      <c r="F2778" s="569">
        <v>1</v>
      </c>
      <c r="G2778" s="598">
        <f>4.3+9.3+3.8+3.8+1.8</f>
        <v>23.000000000000004</v>
      </c>
      <c r="H2778" s="598"/>
      <c r="I2778" s="598">
        <f t="shared" si="295"/>
        <v>3.2749999999999999</v>
      </c>
      <c r="J2778" s="598">
        <f t="shared" si="296"/>
        <v>225.98</v>
      </c>
      <c r="K2778" s="588"/>
    </row>
    <row r="2779" spans="1:11">
      <c r="A2779" s="568"/>
      <c r="B2779" s="593" t="s">
        <v>1251</v>
      </c>
      <c r="C2779" s="577"/>
      <c r="D2779" s="578">
        <v>3</v>
      </c>
      <c r="E2779" s="579" t="s">
        <v>8</v>
      </c>
      <c r="F2779" s="569">
        <v>5</v>
      </c>
      <c r="G2779" s="598">
        <f>(3.8+6.4)*2</f>
        <v>20.399999999999999</v>
      </c>
      <c r="H2779" s="598"/>
      <c r="I2779" s="598">
        <f t="shared" si="295"/>
        <v>3.2749999999999999</v>
      </c>
      <c r="J2779" s="598">
        <f t="shared" si="296"/>
        <v>1002.15</v>
      </c>
      <c r="K2779" s="588"/>
    </row>
    <row r="2780" spans="1:11">
      <c r="A2780" s="568"/>
      <c r="B2780" s="593" t="s">
        <v>1252</v>
      </c>
      <c r="C2780" s="577"/>
      <c r="D2780" s="578">
        <v>3</v>
      </c>
      <c r="E2780" s="579" t="s">
        <v>8</v>
      </c>
      <c r="F2780" s="569">
        <v>3</v>
      </c>
      <c r="G2780" s="670">
        <f>(6.4+3.8)*2</f>
        <v>20.399999999999999</v>
      </c>
      <c r="H2780" s="598"/>
      <c r="I2780" s="598">
        <f t="shared" si="295"/>
        <v>3.2749999999999999</v>
      </c>
      <c r="J2780" s="598">
        <f t="shared" si="296"/>
        <v>601.29</v>
      </c>
      <c r="K2780" s="588"/>
    </row>
    <row r="2781" spans="1:11">
      <c r="A2781" s="568"/>
      <c r="B2781" s="593" t="s">
        <v>1104</v>
      </c>
      <c r="C2781" s="577"/>
      <c r="D2781" s="578">
        <v>3</v>
      </c>
      <c r="E2781" s="579" t="s">
        <v>8</v>
      </c>
      <c r="F2781" s="569">
        <v>1</v>
      </c>
      <c r="G2781" s="598">
        <f>20+2.03+0.2+0.2+0.2+0.6</f>
        <v>23.23</v>
      </c>
      <c r="H2781" s="598"/>
      <c r="I2781" s="598">
        <f t="shared" si="295"/>
        <v>3.2749999999999999</v>
      </c>
      <c r="J2781" s="598">
        <f t="shared" si="296"/>
        <v>228.23999999999998</v>
      </c>
      <c r="K2781" s="588"/>
    </row>
    <row r="2782" spans="1:11">
      <c r="A2782" s="568"/>
      <c r="B2782" s="593" t="s">
        <v>1104</v>
      </c>
      <c r="C2782" s="577"/>
      <c r="D2782" s="578">
        <v>3</v>
      </c>
      <c r="E2782" s="579" t="s">
        <v>8</v>
      </c>
      <c r="F2782" s="569">
        <v>1</v>
      </c>
      <c r="G2782" s="598">
        <f>12+0.6+0.7+0.7+0.3+0.25</f>
        <v>14.549999999999999</v>
      </c>
      <c r="H2782" s="598"/>
      <c r="I2782" s="598">
        <f t="shared" si="295"/>
        <v>3.2749999999999999</v>
      </c>
      <c r="J2782" s="598">
        <f t="shared" si="296"/>
        <v>142.95999999999998</v>
      </c>
      <c r="K2782" s="588"/>
    </row>
    <row r="2783" spans="1:11">
      <c r="A2783" s="568"/>
      <c r="B2783" s="584"/>
      <c r="C2783" s="577"/>
      <c r="G2783" s="612"/>
      <c r="H2783" s="598"/>
      <c r="I2783" s="598"/>
      <c r="J2783" s="598"/>
      <c r="K2783" s="631"/>
    </row>
    <row r="2784" spans="1:11">
      <c r="A2784" s="568"/>
      <c r="B2784" s="584" t="s">
        <v>1611</v>
      </c>
      <c r="C2784" s="577"/>
      <c r="G2784" s="612"/>
      <c r="H2784" s="598"/>
      <c r="I2784" s="598"/>
      <c r="J2784" s="598"/>
      <c r="K2784" s="631"/>
    </row>
    <row r="2785" spans="1:11">
      <c r="A2785" s="568"/>
      <c r="B2785" s="593" t="s">
        <v>1225</v>
      </c>
      <c r="C2785" s="577"/>
      <c r="D2785" s="578">
        <v>3</v>
      </c>
      <c r="E2785" s="579" t="s">
        <v>8</v>
      </c>
      <c r="F2785" s="569">
        <v>5</v>
      </c>
      <c r="G2785" s="659">
        <v>7.7</v>
      </c>
      <c r="H2785" s="598"/>
      <c r="I2785" s="598">
        <f t="shared" ref="I2785:I2789" si="297">4-0.375-2.25</f>
        <v>1.375</v>
      </c>
      <c r="J2785" s="598">
        <f t="shared" ref="J2785:J2789" si="298">ROUNDUP(PRODUCT(D2785:I2785),2)</f>
        <v>158.82</v>
      </c>
      <c r="K2785" s="631"/>
    </row>
    <row r="2786" spans="1:11">
      <c r="A2786" s="568"/>
      <c r="B2786" s="672" t="s">
        <v>1224</v>
      </c>
      <c r="C2786" s="577"/>
      <c r="D2786" s="578">
        <v>3</v>
      </c>
      <c r="E2786" s="579" t="s">
        <v>8</v>
      </c>
      <c r="F2786" s="569">
        <v>3</v>
      </c>
      <c r="G2786" s="598">
        <f>(1.15+1.4)*2</f>
        <v>5.0999999999999996</v>
      </c>
      <c r="H2786" s="598"/>
      <c r="I2786" s="598">
        <f t="shared" si="297"/>
        <v>1.375</v>
      </c>
      <c r="J2786" s="598">
        <f t="shared" si="298"/>
        <v>63.12</v>
      </c>
      <c r="K2786" s="631"/>
    </row>
    <row r="2787" spans="1:11">
      <c r="A2787" s="568"/>
      <c r="B2787" s="672" t="s">
        <v>1224</v>
      </c>
      <c r="C2787" s="631"/>
      <c r="D2787" s="578">
        <v>3</v>
      </c>
      <c r="E2787" s="579" t="s">
        <v>8</v>
      </c>
      <c r="F2787" s="569">
        <v>1</v>
      </c>
      <c r="G2787" s="598">
        <f>(1.5+1.33)*2</f>
        <v>5.66</v>
      </c>
      <c r="H2787" s="598"/>
      <c r="I2787" s="598">
        <f t="shared" si="297"/>
        <v>1.375</v>
      </c>
      <c r="J2787" s="598">
        <f t="shared" si="298"/>
        <v>23.35</v>
      </c>
      <c r="K2787" s="631"/>
    </row>
    <row r="2788" spans="1:11">
      <c r="A2788" s="568"/>
      <c r="B2788" s="635" t="s">
        <v>1099</v>
      </c>
      <c r="C2788" s="631"/>
      <c r="D2788" s="578">
        <v>3</v>
      </c>
      <c r="E2788" s="579" t="s">
        <v>8</v>
      </c>
      <c r="F2788" s="569">
        <v>4</v>
      </c>
      <c r="G2788" s="598">
        <f>(1.5+1.25)*2</f>
        <v>5.5</v>
      </c>
      <c r="H2788" s="598"/>
      <c r="I2788" s="598">
        <f t="shared" si="297"/>
        <v>1.375</v>
      </c>
      <c r="J2788" s="598">
        <f t="shared" si="298"/>
        <v>90.75</v>
      </c>
      <c r="K2788" s="631"/>
    </row>
    <row r="2789" spans="1:11">
      <c r="A2789" s="568"/>
      <c r="B2789" s="635" t="s">
        <v>1597</v>
      </c>
      <c r="C2789" s="673"/>
      <c r="D2789" s="578">
        <v>3</v>
      </c>
      <c r="E2789" s="579" t="s">
        <v>8</v>
      </c>
      <c r="F2789" s="569">
        <v>1</v>
      </c>
      <c r="G2789" s="671">
        <v>22.3</v>
      </c>
      <c r="H2789" s="598"/>
      <c r="I2789" s="598">
        <f t="shared" si="297"/>
        <v>1.375</v>
      </c>
      <c r="J2789" s="598">
        <f t="shared" si="298"/>
        <v>91.990000000000009</v>
      </c>
      <c r="K2789" s="631"/>
    </row>
    <row r="2790" spans="1:11">
      <c r="A2790" s="568"/>
      <c r="B2790" s="593" t="s">
        <v>17</v>
      </c>
      <c r="C2790" s="577"/>
      <c r="G2790" s="612"/>
      <c r="H2790" s="598"/>
      <c r="I2790" s="598"/>
      <c r="J2790" s="598"/>
      <c r="K2790" s="588"/>
    </row>
    <row r="2791" spans="1:11">
      <c r="A2791" s="568"/>
      <c r="B2791" s="593" t="s">
        <v>585</v>
      </c>
      <c r="C2791" s="577"/>
      <c r="D2791" s="578">
        <v>-3</v>
      </c>
      <c r="E2791" s="579" t="s">
        <v>8</v>
      </c>
      <c r="F2791" s="569">
        <v>24</v>
      </c>
      <c r="G2791" s="612">
        <v>0.9</v>
      </c>
      <c r="H2791" s="598"/>
      <c r="I2791" s="598">
        <v>2.1</v>
      </c>
      <c r="J2791" s="598">
        <f>ROUNDUP(PRODUCT(D2791:I2791),2)</f>
        <v>-136.08000000000001</v>
      </c>
      <c r="K2791" s="588"/>
    </row>
    <row r="2792" spans="1:11">
      <c r="A2792" s="568"/>
      <c r="B2792" s="593" t="s">
        <v>902</v>
      </c>
      <c r="C2792" s="577"/>
      <c r="D2792" s="578">
        <v>-3</v>
      </c>
      <c r="E2792" s="579" t="s">
        <v>8</v>
      </c>
      <c r="F2792" s="569">
        <v>15</v>
      </c>
      <c r="G2792" s="612">
        <v>0.75</v>
      </c>
      <c r="H2792" s="598"/>
      <c r="I2792" s="598">
        <v>2.1</v>
      </c>
      <c r="J2792" s="598">
        <f>ROUNDUP(PRODUCT(D2792:I2792),2)</f>
        <v>-70.88000000000001</v>
      </c>
      <c r="K2792" s="588"/>
    </row>
    <row r="2793" spans="1:11">
      <c r="A2793" s="568"/>
      <c r="B2793" s="593" t="s">
        <v>1216</v>
      </c>
      <c r="C2793" s="589"/>
      <c r="D2793" s="578">
        <v>-3</v>
      </c>
      <c r="E2793" s="579" t="s">
        <v>8</v>
      </c>
      <c r="F2793" s="569">
        <v>1</v>
      </c>
      <c r="G2793" s="612">
        <v>1</v>
      </c>
      <c r="H2793" s="598"/>
      <c r="I2793" s="598">
        <v>2.1</v>
      </c>
      <c r="J2793" s="598">
        <f>ROUNDUP(PRODUCT(D2793:I2793),2)</f>
        <v>-6.3</v>
      </c>
      <c r="K2793" s="588"/>
    </row>
    <row r="2794" spans="1:11">
      <c r="A2794" s="568"/>
      <c r="B2794" s="593" t="s">
        <v>1253</v>
      </c>
      <c r="C2794" s="577"/>
      <c r="D2794" s="578">
        <v>-3</v>
      </c>
      <c r="E2794" s="579" t="s">
        <v>8</v>
      </c>
      <c r="F2794" s="569">
        <v>2</v>
      </c>
      <c r="G2794" s="612">
        <v>1.2</v>
      </c>
      <c r="H2794" s="598"/>
      <c r="I2794" s="598">
        <v>2.1</v>
      </c>
      <c r="J2794" s="598">
        <f>ROUNDUP(PRODUCT(D2794:I2794),2)</f>
        <v>-15.12</v>
      </c>
      <c r="K2794" s="588"/>
    </row>
    <row r="2795" spans="1:11">
      <c r="A2795" s="568"/>
      <c r="B2795" s="593" t="s">
        <v>579</v>
      </c>
      <c r="C2795" s="577"/>
      <c r="D2795" s="578">
        <v>-3</v>
      </c>
      <c r="E2795" s="579" t="s">
        <v>8</v>
      </c>
      <c r="F2795" s="569">
        <v>7</v>
      </c>
      <c r="G2795" s="612">
        <v>1.5</v>
      </c>
      <c r="H2795" s="598"/>
      <c r="I2795" s="598">
        <v>1.2</v>
      </c>
      <c r="J2795" s="598">
        <f t="shared" ref="J2795" si="299">ROUNDUP(PRODUCT(D2795:I2795),2)</f>
        <v>-37.799999999999997</v>
      </c>
      <c r="K2795" s="588"/>
    </row>
    <row r="2796" spans="1:11">
      <c r="A2796" s="568"/>
      <c r="B2796" s="593" t="s">
        <v>586</v>
      </c>
      <c r="C2796" s="577"/>
      <c r="D2796" s="578">
        <v>-3</v>
      </c>
      <c r="E2796" s="579" t="s">
        <v>8</v>
      </c>
      <c r="F2796" s="569">
        <v>8</v>
      </c>
      <c r="G2796" s="612">
        <v>2.15</v>
      </c>
      <c r="H2796" s="598"/>
      <c r="I2796" s="598">
        <v>1.2</v>
      </c>
      <c r="J2796" s="598">
        <f>ROUNDUP(PRODUCT(D2796:I2796),2)</f>
        <v>-61.92</v>
      </c>
      <c r="K2796" s="588"/>
    </row>
    <row r="2797" spans="1:11">
      <c r="A2797" s="568"/>
      <c r="B2797" s="593" t="s">
        <v>587</v>
      </c>
      <c r="C2797" s="577"/>
      <c r="D2797" s="578">
        <v>-3</v>
      </c>
      <c r="E2797" s="579" t="s">
        <v>8</v>
      </c>
      <c r="F2797" s="569">
        <v>1</v>
      </c>
      <c r="G2797" s="612">
        <v>1.2</v>
      </c>
      <c r="H2797" s="598"/>
      <c r="I2797" s="598">
        <v>1.2</v>
      </c>
      <c r="J2797" s="598">
        <f>ROUNDUP(PRODUCT(D2797:I2797),2)</f>
        <v>-4.32</v>
      </c>
      <c r="K2797" s="588"/>
    </row>
    <row r="2798" spans="1:11">
      <c r="A2798" s="568"/>
      <c r="B2798" s="593" t="s">
        <v>580</v>
      </c>
      <c r="C2798" s="577"/>
      <c r="D2798" s="578">
        <v>-3</v>
      </c>
      <c r="E2798" s="579" t="s">
        <v>8</v>
      </c>
      <c r="F2798" s="569">
        <v>18</v>
      </c>
      <c r="G2798" s="612">
        <v>0.6</v>
      </c>
      <c r="H2798" s="598"/>
      <c r="I2798" s="598">
        <v>0.75</v>
      </c>
      <c r="J2798" s="598">
        <f t="shared" ref="J2798" si="300">ROUNDUP(PRODUCT(D2798:I2798),2)</f>
        <v>-24.3</v>
      </c>
      <c r="K2798" s="588"/>
    </row>
    <row r="2799" spans="1:11">
      <c r="A2799" s="568"/>
      <c r="B2799" s="584" t="s">
        <v>25</v>
      </c>
      <c r="C2799" s="577"/>
      <c r="G2799" s="612"/>
      <c r="H2799" s="598"/>
      <c r="I2799" s="598"/>
      <c r="J2799" s="598"/>
      <c r="K2799" s="588"/>
    </row>
    <row r="2800" spans="1:11">
      <c r="A2800" s="568"/>
      <c r="B2800" s="593" t="s">
        <v>640</v>
      </c>
      <c r="C2800" s="577"/>
      <c r="D2800" s="578">
        <v>1</v>
      </c>
      <c r="E2800" s="579" t="s">
        <v>8</v>
      </c>
      <c r="F2800" s="569">
        <v>1</v>
      </c>
      <c r="G2800" s="598">
        <f>2.1+2.1+1.9+1.9+1.5+0.9</f>
        <v>10.4</v>
      </c>
      <c r="H2800" s="598"/>
      <c r="I2800" s="598">
        <v>4.6500000000000004</v>
      </c>
      <c r="J2800" s="598">
        <f>ROUNDUP(PRODUCT(D2800:I2800),2)</f>
        <v>48.36</v>
      </c>
      <c r="K2800" s="588"/>
    </row>
    <row r="2801" spans="1:11">
      <c r="A2801" s="568"/>
      <c r="B2801" s="593" t="s">
        <v>597</v>
      </c>
      <c r="C2801" s="577"/>
      <c r="D2801" s="578">
        <v>1</v>
      </c>
      <c r="E2801" s="579" t="s">
        <v>8</v>
      </c>
      <c r="F2801" s="569">
        <v>1</v>
      </c>
      <c r="G2801" s="612">
        <f>3.7+6.9+3.8+1.8</f>
        <v>16.200000000000003</v>
      </c>
      <c r="H2801" s="598"/>
      <c r="I2801" s="598">
        <v>2.85</v>
      </c>
      <c r="J2801" s="598">
        <f t="shared" ref="J2801:J2802" si="301">ROUNDUP(PRODUCT(D2801:I2801),2)</f>
        <v>46.17</v>
      </c>
      <c r="K2801" s="588"/>
    </row>
    <row r="2802" spans="1:11">
      <c r="A2802" s="568"/>
      <c r="B2802" s="593" t="s">
        <v>598</v>
      </c>
      <c r="C2802" s="577"/>
      <c r="D2802" s="578">
        <v>1</v>
      </c>
      <c r="E2802" s="579" t="s">
        <v>8</v>
      </c>
      <c r="F2802" s="569">
        <v>1</v>
      </c>
      <c r="G2802" s="612">
        <f>3.7+6.9+3.8+1.8</f>
        <v>16.200000000000003</v>
      </c>
      <c r="H2802" s="598"/>
      <c r="I2802" s="598">
        <v>2.85</v>
      </c>
      <c r="J2802" s="598">
        <f t="shared" si="301"/>
        <v>46.17</v>
      </c>
      <c r="K2802" s="588"/>
    </row>
    <row r="2803" spans="1:11">
      <c r="A2803" s="568"/>
      <c r="B2803" s="593" t="s">
        <v>17</v>
      </c>
      <c r="C2803" s="577"/>
      <c r="G2803" s="612"/>
      <c r="H2803" s="598"/>
      <c r="I2803" s="598"/>
      <c r="J2803" s="598"/>
      <c r="K2803" s="588"/>
    </row>
    <row r="2804" spans="1:11">
      <c r="A2804" s="568"/>
      <c r="B2804" s="593" t="s">
        <v>29</v>
      </c>
      <c r="C2804" s="577"/>
      <c r="D2804" s="578">
        <v>-1</v>
      </c>
      <c r="E2804" s="579" t="s">
        <v>8</v>
      </c>
      <c r="F2804" s="569">
        <v>4</v>
      </c>
      <c r="G2804" s="612">
        <v>0.9</v>
      </c>
      <c r="H2804" s="598"/>
      <c r="I2804" s="598">
        <v>2.15</v>
      </c>
      <c r="J2804" s="598">
        <f t="shared" ref="J2804:J2805" si="302">ROUNDUP(PRODUCT(D2804:I2804),2)</f>
        <v>-7.74</v>
      </c>
      <c r="K2804" s="588"/>
    </row>
    <row r="2805" spans="1:11">
      <c r="A2805" s="568"/>
      <c r="B2805" s="593" t="s">
        <v>587</v>
      </c>
      <c r="C2805" s="577"/>
      <c r="D2805" s="578">
        <v>-1</v>
      </c>
      <c r="E2805" s="579" t="s">
        <v>8</v>
      </c>
      <c r="F2805" s="569">
        <v>2</v>
      </c>
      <c r="G2805" s="612">
        <v>1.5</v>
      </c>
      <c r="H2805" s="598"/>
      <c r="I2805" s="598">
        <v>1.25</v>
      </c>
      <c r="J2805" s="598">
        <f t="shared" si="302"/>
        <v>-3.75</v>
      </c>
      <c r="K2805" s="588"/>
    </row>
    <row r="2806" spans="1:11">
      <c r="A2806" s="568"/>
      <c r="B2806" s="593"/>
      <c r="C2806" s="577"/>
      <c r="G2806" s="612"/>
      <c r="H2806" s="598"/>
      <c r="I2806" s="598"/>
      <c r="J2806" s="614">
        <f>SUM(J2727:J2805)</f>
        <v>5208.83</v>
      </c>
      <c r="K2806" s="581"/>
    </row>
    <row r="2807" spans="1:11">
      <c r="A2807" s="568"/>
      <c r="B2807" s="622" t="s">
        <v>28</v>
      </c>
      <c r="C2807" s="577"/>
      <c r="G2807" s="612"/>
      <c r="H2807" s="598"/>
      <c r="I2807" s="598"/>
      <c r="J2807" s="605">
        <f>ROUNDUP(J2806,0)</f>
        <v>5209</v>
      </c>
      <c r="K2807" s="576" t="s">
        <v>9</v>
      </c>
    </row>
    <row r="2808" spans="1:11">
      <c r="A2808" s="568"/>
      <c r="B2808" s="593"/>
      <c r="C2808" s="577"/>
      <c r="G2808" s="612"/>
      <c r="H2808" s="598"/>
      <c r="I2808" s="598"/>
      <c r="J2808" s="598"/>
      <c r="K2808" s="581"/>
    </row>
    <row r="2809" spans="1:11" ht="20.25" customHeight="1">
      <c r="A2809" s="568">
        <f>A2725+1</f>
        <v>52</v>
      </c>
      <c r="B2809" s="723" t="str">
        <f>'BOQ-C&amp;I'!C185</f>
        <v>Specification same as above but excluding cost of putty (Wall &amp; Ceiling Painting)</v>
      </c>
      <c r="C2809" s="723"/>
      <c r="D2809" s="723"/>
      <c r="E2809" s="723"/>
      <c r="F2809" s="723"/>
      <c r="G2809" s="723"/>
      <c r="H2809" s="723"/>
      <c r="I2809" s="723"/>
      <c r="J2809" s="723"/>
      <c r="K2809" s="723"/>
    </row>
    <row r="2810" spans="1:11">
      <c r="A2810" s="568"/>
      <c r="B2810" s="584" t="s">
        <v>642</v>
      </c>
      <c r="C2810" s="577"/>
      <c r="G2810" s="612"/>
      <c r="H2810" s="598"/>
      <c r="I2810" s="598"/>
      <c r="J2810" s="598"/>
      <c r="K2810" s="581"/>
    </row>
    <row r="2811" spans="1:11">
      <c r="A2811" s="568"/>
      <c r="B2811" s="584" t="s">
        <v>1640</v>
      </c>
      <c r="C2811" s="577"/>
      <c r="G2811" s="612"/>
      <c r="H2811" s="598"/>
      <c r="I2811" s="598"/>
      <c r="J2811" s="598"/>
      <c r="K2811" s="581"/>
    </row>
    <row r="2812" spans="1:11">
      <c r="A2812" s="568"/>
      <c r="B2812" s="584" t="s">
        <v>614</v>
      </c>
      <c r="C2812" s="589"/>
      <c r="G2812" s="590"/>
      <c r="H2812" s="591"/>
      <c r="I2812" s="591"/>
      <c r="J2812" s="591"/>
      <c r="K2812" s="581"/>
    </row>
    <row r="2813" spans="1:11">
      <c r="A2813" s="568"/>
      <c r="B2813" s="593" t="s">
        <v>1639</v>
      </c>
      <c r="C2813" s="589"/>
      <c r="D2813" s="578">
        <v>1</v>
      </c>
      <c r="E2813" s="579" t="s">
        <v>8</v>
      </c>
      <c r="F2813" s="569">
        <v>1</v>
      </c>
      <c r="G2813" s="590">
        <v>4.5</v>
      </c>
      <c r="H2813" s="591">
        <v>1.5</v>
      </c>
      <c r="I2813" s="591"/>
      <c r="J2813" s="591">
        <f t="shared" ref="J2813:J2816" si="303">PRODUCT(D2813:I2813)</f>
        <v>6.75</v>
      </c>
      <c r="K2813" s="581"/>
    </row>
    <row r="2814" spans="1:11">
      <c r="A2814" s="568"/>
      <c r="B2814" s="593" t="s">
        <v>1639</v>
      </c>
      <c r="C2814" s="589"/>
      <c r="D2814" s="578">
        <v>1</v>
      </c>
      <c r="E2814" s="579" t="s">
        <v>8</v>
      </c>
      <c r="F2814" s="569">
        <v>7</v>
      </c>
      <c r="G2814" s="590">
        <v>3.7</v>
      </c>
      <c r="H2814" s="591">
        <v>1.5</v>
      </c>
      <c r="I2814" s="591"/>
      <c r="J2814" s="591">
        <f t="shared" si="303"/>
        <v>38.85</v>
      </c>
      <c r="K2814" s="581"/>
    </row>
    <row r="2815" spans="1:11">
      <c r="A2815" s="568"/>
      <c r="B2815" s="593" t="s">
        <v>502</v>
      </c>
      <c r="C2815" s="589"/>
      <c r="D2815" s="578">
        <v>1</v>
      </c>
      <c r="E2815" s="579" t="s">
        <v>8</v>
      </c>
      <c r="F2815" s="569">
        <v>4</v>
      </c>
      <c r="G2815" s="725">
        <v>4.8600000000000003</v>
      </c>
      <c r="H2815" s="726"/>
      <c r="I2815" s="591"/>
      <c r="J2815" s="591">
        <f t="shared" si="303"/>
        <v>19.440000000000001</v>
      </c>
      <c r="K2815" s="581"/>
    </row>
    <row r="2816" spans="1:11">
      <c r="A2816" s="568"/>
      <c r="B2816" s="593" t="s">
        <v>610</v>
      </c>
      <c r="C2816" s="589"/>
      <c r="D2816" s="578">
        <v>1</v>
      </c>
      <c r="E2816" s="579" t="s">
        <v>8</v>
      </c>
      <c r="F2816" s="569">
        <v>1</v>
      </c>
      <c r="G2816" s="725">
        <v>1.44</v>
      </c>
      <c r="H2816" s="726"/>
      <c r="I2816" s="591"/>
      <c r="J2816" s="591">
        <f t="shared" si="303"/>
        <v>1.44</v>
      </c>
      <c r="K2816" s="581"/>
    </row>
    <row r="2817" spans="1:11">
      <c r="A2817" s="568"/>
      <c r="B2817" s="584" t="s">
        <v>615</v>
      </c>
      <c r="C2817" s="589"/>
      <c r="G2817" s="590"/>
      <c r="H2817" s="591"/>
      <c r="I2817" s="591"/>
      <c r="J2817" s="591"/>
      <c r="K2817" s="581"/>
    </row>
    <row r="2818" spans="1:11">
      <c r="A2818" s="568"/>
      <c r="B2818" s="593" t="s">
        <v>1639</v>
      </c>
      <c r="C2818" s="589"/>
      <c r="D2818" s="578">
        <v>1</v>
      </c>
      <c r="E2818" s="579" t="s">
        <v>8</v>
      </c>
      <c r="F2818" s="569">
        <v>1</v>
      </c>
      <c r="G2818" s="590">
        <v>4.5</v>
      </c>
      <c r="H2818" s="591">
        <v>1.5</v>
      </c>
      <c r="I2818" s="591"/>
      <c r="J2818" s="591">
        <f t="shared" ref="J2818:J2821" si="304">PRODUCT(D2818:I2818)</f>
        <v>6.75</v>
      </c>
      <c r="K2818" s="581"/>
    </row>
    <row r="2819" spans="1:11">
      <c r="A2819" s="568"/>
      <c r="B2819" s="593" t="s">
        <v>1639</v>
      </c>
      <c r="C2819" s="589"/>
      <c r="D2819" s="578">
        <v>1</v>
      </c>
      <c r="E2819" s="579" t="s">
        <v>8</v>
      </c>
      <c r="F2819" s="569">
        <v>7</v>
      </c>
      <c r="G2819" s="590">
        <v>3.7</v>
      </c>
      <c r="H2819" s="591">
        <v>1.5</v>
      </c>
      <c r="I2819" s="591"/>
      <c r="J2819" s="591">
        <f t="shared" si="304"/>
        <v>38.85</v>
      </c>
      <c r="K2819" s="581"/>
    </row>
    <row r="2820" spans="1:11">
      <c r="A2820" s="568"/>
      <c r="B2820" s="593" t="s">
        <v>502</v>
      </c>
      <c r="C2820" s="589"/>
      <c r="D2820" s="578">
        <v>1</v>
      </c>
      <c r="E2820" s="579" t="s">
        <v>8</v>
      </c>
      <c r="F2820" s="569">
        <v>4</v>
      </c>
      <c r="G2820" s="725">
        <v>4.8600000000000003</v>
      </c>
      <c r="H2820" s="726"/>
      <c r="I2820" s="591"/>
      <c r="J2820" s="591">
        <f t="shared" si="304"/>
        <v>19.440000000000001</v>
      </c>
      <c r="K2820" s="581"/>
    </row>
    <row r="2821" spans="1:11">
      <c r="A2821" s="568"/>
      <c r="B2821" s="593" t="s">
        <v>610</v>
      </c>
      <c r="C2821" s="589"/>
      <c r="D2821" s="578">
        <v>1</v>
      </c>
      <c r="E2821" s="579" t="s">
        <v>8</v>
      </c>
      <c r="F2821" s="569">
        <v>1</v>
      </c>
      <c r="G2821" s="725">
        <v>1.44</v>
      </c>
      <c r="H2821" s="726"/>
      <c r="I2821" s="591"/>
      <c r="J2821" s="591">
        <f t="shared" si="304"/>
        <v>1.44</v>
      </c>
      <c r="K2821" s="581"/>
    </row>
    <row r="2822" spans="1:11">
      <c r="A2822" s="568"/>
      <c r="B2822" s="593"/>
      <c r="C2822" s="589"/>
      <c r="G2822" s="653"/>
      <c r="H2822" s="624"/>
      <c r="I2822" s="591"/>
      <c r="J2822" s="591"/>
      <c r="K2822" s="581"/>
    </row>
    <row r="2823" spans="1:11">
      <c r="A2823" s="568"/>
      <c r="B2823" s="593" t="s">
        <v>793</v>
      </c>
      <c r="C2823" s="589"/>
      <c r="D2823" s="578">
        <v>1</v>
      </c>
      <c r="E2823" s="579" t="s">
        <v>8</v>
      </c>
      <c r="F2823" s="569">
        <v>1</v>
      </c>
      <c r="G2823" s="590">
        <v>3.5</v>
      </c>
      <c r="H2823" s="591">
        <v>3.5</v>
      </c>
      <c r="I2823" s="591"/>
      <c r="J2823" s="598">
        <f>ROUNDUP(PRODUCT(D2823:I2823),2)</f>
        <v>12.25</v>
      </c>
      <c r="K2823" s="581"/>
    </row>
    <row r="2824" spans="1:11">
      <c r="A2824" s="568"/>
      <c r="B2824" s="593" t="s">
        <v>1129</v>
      </c>
      <c r="C2824" s="589"/>
      <c r="D2824" s="578">
        <v>1</v>
      </c>
      <c r="E2824" s="579" t="s">
        <v>8</v>
      </c>
      <c r="F2824" s="569">
        <v>1</v>
      </c>
      <c r="G2824" s="590">
        <v>5.5</v>
      </c>
      <c r="H2824" s="591">
        <v>3.3</v>
      </c>
      <c r="I2824" s="591"/>
      <c r="J2824" s="598">
        <f>ROUNDUP(PRODUCT(D2824:I2824),2)</f>
        <v>18.149999999999999</v>
      </c>
      <c r="K2824" s="581"/>
    </row>
    <row r="2825" spans="1:11">
      <c r="A2825" s="568"/>
      <c r="B2825" s="593"/>
      <c r="C2825" s="589"/>
      <c r="G2825" s="725"/>
      <c r="H2825" s="726"/>
      <c r="I2825" s="591"/>
      <c r="J2825" s="591"/>
      <c r="K2825" s="581"/>
    </row>
    <row r="2826" spans="1:11">
      <c r="A2826" s="568"/>
      <c r="B2826" s="584" t="s">
        <v>60</v>
      </c>
      <c r="C2826" s="577"/>
      <c r="G2826" s="612"/>
      <c r="H2826" s="598"/>
      <c r="I2826" s="598"/>
      <c r="J2826" s="598"/>
      <c r="K2826" s="581"/>
    </row>
    <row r="2827" spans="1:11">
      <c r="A2827" s="568"/>
      <c r="B2827" s="593" t="s">
        <v>640</v>
      </c>
      <c r="C2827" s="577"/>
      <c r="D2827" s="578">
        <v>1</v>
      </c>
      <c r="E2827" s="579" t="s">
        <v>8</v>
      </c>
      <c r="F2827" s="569">
        <v>1</v>
      </c>
      <c r="G2827" s="659">
        <v>4.6500000000000004</v>
      </c>
      <c r="H2827" s="612">
        <v>1.9</v>
      </c>
      <c r="I2827" s="598"/>
      <c r="J2827" s="598">
        <f t="shared" ref="J2827:J2828" si="305">ROUNDUP(PRODUCT(D2827:I2827),2)</f>
        <v>8.84</v>
      </c>
      <c r="K2827" s="581"/>
    </row>
    <row r="2828" spans="1:11">
      <c r="A2828" s="568"/>
      <c r="B2828" s="593" t="s">
        <v>641</v>
      </c>
      <c r="C2828" s="577"/>
      <c r="D2828" s="578">
        <v>1</v>
      </c>
      <c r="E2828" s="579" t="s">
        <v>8</v>
      </c>
      <c r="F2828" s="569">
        <v>2</v>
      </c>
      <c r="G2828" s="612">
        <v>3.3</v>
      </c>
      <c r="H2828" s="598">
        <v>6.9</v>
      </c>
      <c r="I2828" s="598"/>
      <c r="J2828" s="598">
        <f t="shared" si="305"/>
        <v>45.54</v>
      </c>
      <c r="K2828" s="581"/>
    </row>
    <row r="2829" spans="1:11">
      <c r="A2829" s="568"/>
      <c r="B2829" s="593" t="s">
        <v>643</v>
      </c>
      <c r="C2829" s="577"/>
      <c r="G2829" s="612"/>
      <c r="H2829" s="598"/>
      <c r="I2829" s="598"/>
      <c r="J2829" s="598"/>
      <c r="K2829" s="581"/>
    </row>
    <row r="2830" spans="1:11">
      <c r="A2830" s="568"/>
      <c r="B2830" s="593" t="s">
        <v>503</v>
      </c>
      <c r="C2830" s="589"/>
      <c r="D2830" s="578">
        <v>1</v>
      </c>
      <c r="E2830" s="579" t="s">
        <v>8</v>
      </c>
      <c r="F2830" s="569">
        <v>1</v>
      </c>
      <c r="G2830" s="590">
        <v>2.5</v>
      </c>
      <c r="H2830" s="591">
        <v>1</v>
      </c>
      <c r="I2830" s="591"/>
      <c r="J2830" s="591">
        <f>PRODUCT(D2830:I2830)</f>
        <v>2.5</v>
      </c>
      <c r="K2830" s="581"/>
    </row>
    <row r="2831" spans="1:11">
      <c r="A2831" s="568"/>
      <c r="B2831" s="593" t="s">
        <v>610</v>
      </c>
      <c r="C2831" s="589"/>
      <c r="D2831" s="578">
        <v>1</v>
      </c>
      <c r="E2831" s="579" t="s">
        <v>8</v>
      </c>
      <c r="F2831" s="569">
        <v>1</v>
      </c>
      <c r="G2831" s="590">
        <v>1.5</v>
      </c>
      <c r="H2831" s="591">
        <v>1</v>
      </c>
      <c r="I2831" s="591"/>
      <c r="J2831" s="591">
        <f>PRODUCT(D2831:I2831)</f>
        <v>1.5</v>
      </c>
      <c r="K2831" s="581"/>
    </row>
    <row r="2832" spans="1:11">
      <c r="A2832" s="568"/>
      <c r="B2832" s="593"/>
      <c r="C2832" s="577"/>
      <c r="G2832" s="612"/>
      <c r="H2832" s="598"/>
      <c r="I2832" s="598"/>
      <c r="J2832" s="614">
        <f>SUM(J2813:J2831)</f>
        <v>221.74</v>
      </c>
      <c r="K2832" s="581"/>
    </row>
    <row r="2833" spans="1:11">
      <c r="A2833" s="568"/>
      <c r="B2833" s="622" t="s">
        <v>28</v>
      </c>
      <c r="C2833" s="577"/>
      <c r="G2833" s="612"/>
      <c r="H2833" s="598"/>
      <c r="I2833" s="598"/>
      <c r="J2833" s="605">
        <f>ROUNDUP(J2832,0)</f>
        <v>222</v>
      </c>
      <c r="K2833" s="576" t="s">
        <v>9</v>
      </c>
    </row>
    <row r="2834" spans="1:11">
      <c r="A2834" s="568"/>
      <c r="B2834" s="593"/>
      <c r="C2834" s="577"/>
      <c r="G2834" s="612"/>
      <c r="H2834" s="598"/>
      <c r="I2834" s="598"/>
      <c r="J2834" s="598"/>
      <c r="K2834" s="581"/>
    </row>
    <row r="2835" spans="1:11" ht="64.900000000000006" customHeight="1">
      <c r="A2835" s="568">
        <f>A2809+1</f>
        <v>53</v>
      </c>
      <c r="B2835" s="723" t="str">
        <f>'BOQ-C&amp;I'!C186</f>
        <v>Applying white washing three coats to ceilings and walls with pure shell lime or fat lime  conforming to IS-712 all as per Specification and as directed. complying with relevant standard specification, as directed by the departmental officers.</v>
      </c>
      <c r="C2835" s="723"/>
      <c r="D2835" s="723"/>
      <c r="E2835" s="723"/>
      <c r="F2835" s="723"/>
      <c r="G2835" s="723"/>
      <c r="H2835" s="723"/>
      <c r="I2835" s="723"/>
      <c r="J2835" s="723"/>
      <c r="K2835" s="723"/>
    </row>
    <row r="2836" spans="1:11">
      <c r="A2836" s="568"/>
      <c r="B2836" s="584" t="s">
        <v>642</v>
      </c>
      <c r="C2836" s="577"/>
      <c r="G2836" s="612"/>
      <c r="H2836" s="598"/>
      <c r="I2836" s="598"/>
      <c r="J2836" s="598"/>
      <c r="K2836" s="588"/>
    </row>
    <row r="2837" spans="1:11">
      <c r="A2837" s="568"/>
      <c r="B2837" s="584" t="s">
        <v>12</v>
      </c>
      <c r="C2837" s="577"/>
      <c r="G2837" s="612"/>
      <c r="H2837" s="598"/>
      <c r="I2837" s="598"/>
      <c r="J2837" s="598"/>
      <c r="K2837" s="588"/>
    </row>
    <row r="2838" spans="1:11">
      <c r="A2838" s="568"/>
      <c r="B2838" s="593" t="s">
        <v>1096</v>
      </c>
      <c r="C2838" s="577"/>
      <c r="D2838" s="578">
        <v>1</v>
      </c>
      <c r="E2838" s="579" t="s">
        <v>8</v>
      </c>
      <c r="F2838" s="569">
        <v>1</v>
      </c>
      <c r="G2838" s="598">
        <v>7.5</v>
      </c>
      <c r="H2838" s="598">
        <v>9.9</v>
      </c>
      <c r="I2838" s="598"/>
      <c r="J2838" s="598">
        <f t="shared" ref="J2838:J2852" si="306">ROUNDUP(PRODUCT(D2838:I2838),2)</f>
        <v>74.25</v>
      </c>
      <c r="K2838" s="588"/>
    </row>
    <row r="2839" spans="1:11">
      <c r="A2839" s="568"/>
      <c r="B2839" s="593" t="s">
        <v>1105</v>
      </c>
      <c r="C2839" s="577"/>
      <c r="D2839" s="578">
        <v>1</v>
      </c>
      <c r="E2839" s="579" t="s">
        <v>8</v>
      </c>
      <c r="F2839" s="569">
        <v>1</v>
      </c>
      <c r="G2839" s="598">
        <v>4.9000000000000004</v>
      </c>
      <c r="H2839" s="598">
        <v>9.6999999999999993</v>
      </c>
      <c r="I2839" s="598"/>
      <c r="J2839" s="598">
        <f t="shared" si="306"/>
        <v>47.53</v>
      </c>
      <c r="K2839" s="588"/>
    </row>
    <row r="2840" spans="1:11">
      <c r="A2840" s="568"/>
      <c r="B2840" s="593" t="s">
        <v>1228</v>
      </c>
      <c r="C2840" s="577"/>
      <c r="D2840" s="578">
        <v>1</v>
      </c>
      <c r="E2840" s="579" t="s">
        <v>8</v>
      </c>
      <c r="F2840" s="569">
        <v>1</v>
      </c>
      <c r="G2840" s="598">
        <v>3.8</v>
      </c>
      <c r="H2840" s="598">
        <v>4.0999999999999996</v>
      </c>
      <c r="I2840" s="598"/>
      <c r="J2840" s="598">
        <f t="shared" si="306"/>
        <v>15.58</v>
      </c>
      <c r="K2840" s="588"/>
    </row>
    <row r="2841" spans="1:11">
      <c r="A2841" s="568"/>
      <c r="B2841" s="593" t="s">
        <v>1228</v>
      </c>
      <c r="C2841" s="577"/>
      <c r="D2841" s="578">
        <v>1</v>
      </c>
      <c r="E2841" s="579" t="s">
        <v>8</v>
      </c>
      <c r="F2841" s="569">
        <v>1</v>
      </c>
      <c r="G2841" s="598">
        <v>1.8</v>
      </c>
      <c r="H2841" s="598">
        <v>2.2000000000000002</v>
      </c>
      <c r="I2841" s="598"/>
      <c r="J2841" s="598">
        <f t="shared" si="306"/>
        <v>3.96</v>
      </c>
      <c r="K2841" s="588"/>
    </row>
    <row r="2842" spans="1:11">
      <c r="A2842" s="568"/>
      <c r="B2842" s="593" t="s">
        <v>592</v>
      </c>
      <c r="C2842" s="577"/>
      <c r="D2842" s="578">
        <v>1</v>
      </c>
      <c r="E2842" s="579" t="s">
        <v>8</v>
      </c>
      <c r="F2842" s="569">
        <v>1</v>
      </c>
      <c r="G2842" s="598">
        <v>3.8</v>
      </c>
      <c r="H2842" s="598">
        <v>4.0999999999999996</v>
      </c>
      <c r="I2842" s="598"/>
      <c r="J2842" s="598">
        <f t="shared" si="306"/>
        <v>15.58</v>
      </c>
      <c r="K2842" s="588"/>
    </row>
    <row r="2843" spans="1:11">
      <c r="A2843" s="568"/>
      <c r="B2843" s="593" t="s">
        <v>592</v>
      </c>
      <c r="C2843" s="577"/>
      <c r="D2843" s="578">
        <v>1</v>
      </c>
      <c r="E2843" s="579" t="s">
        <v>8</v>
      </c>
      <c r="F2843" s="569">
        <v>1</v>
      </c>
      <c r="G2843" s="598">
        <v>1.5</v>
      </c>
      <c r="H2843" s="598">
        <v>2.2000000000000002</v>
      </c>
      <c r="I2843" s="598"/>
      <c r="J2843" s="598">
        <f t="shared" si="306"/>
        <v>3.3</v>
      </c>
      <c r="K2843" s="588"/>
    </row>
    <row r="2844" spans="1:11">
      <c r="A2844" s="568"/>
      <c r="B2844" s="593" t="s">
        <v>15</v>
      </c>
      <c r="C2844" s="577"/>
      <c r="D2844" s="578">
        <v>1</v>
      </c>
      <c r="E2844" s="579" t="s">
        <v>8</v>
      </c>
      <c r="F2844" s="569">
        <v>1</v>
      </c>
      <c r="G2844" s="598">
        <v>7.8</v>
      </c>
      <c r="H2844" s="598">
        <v>6.4</v>
      </c>
      <c r="I2844" s="598"/>
      <c r="J2844" s="598">
        <f t="shared" si="306"/>
        <v>49.92</v>
      </c>
      <c r="K2844" s="588"/>
    </row>
    <row r="2845" spans="1:11">
      <c r="A2845" s="568"/>
      <c r="B2845" s="593" t="s">
        <v>1229</v>
      </c>
      <c r="C2845" s="577"/>
      <c r="D2845" s="578">
        <v>1</v>
      </c>
      <c r="E2845" s="579" t="s">
        <v>8</v>
      </c>
      <c r="F2845" s="569">
        <v>2</v>
      </c>
      <c r="G2845" s="598">
        <v>4.0999999999999996</v>
      </c>
      <c r="H2845" s="598">
        <v>3.8</v>
      </c>
      <c r="I2845" s="598"/>
      <c r="J2845" s="598">
        <f t="shared" si="306"/>
        <v>31.16</v>
      </c>
      <c r="K2845" s="588"/>
    </row>
    <row r="2846" spans="1:11">
      <c r="A2846" s="568"/>
      <c r="B2846" s="593" t="s">
        <v>1229</v>
      </c>
      <c r="C2846" s="577"/>
      <c r="D2846" s="578">
        <v>1</v>
      </c>
      <c r="E2846" s="579" t="s">
        <v>8</v>
      </c>
      <c r="F2846" s="569">
        <v>2</v>
      </c>
      <c r="G2846" s="598">
        <v>2.5</v>
      </c>
      <c r="H2846" s="598">
        <v>1.5</v>
      </c>
      <c r="I2846" s="598"/>
      <c r="J2846" s="598">
        <f t="shared" si="306"/>
        <v>7.5</v>
      </c>
      <c r="K2846" s="588"/>
    </row>
    <row r="2847" spans="1:11">
      <c r="A2847" s="568"/>
      <c r="B2847" s="593" t="s">
        <v>1110</v>
      </c>
      <c r="C2847" s="577"/>
      <c r="D2847" s="578">
        <v>1</v>
      </c>
      <c r="E2847" s="579" t="s">
        <v>8</v>
      </c>
      <c r="F2847" s="569">
        <v>1</v>
      </c>
      <c r="G2847" s="598">
        <v>4.8</v>
      </c>
      <c r="H2847" s="598">
        <v>3.8</v>
      </c>
      <c r="I2847" s="598"/>
      <c r="J2847" s="598">
        <f t="shared" si="306"/>
        <v>18.239999999999998</v>
      </c>
      <c r="K2847" s="588"/>
    </row>
    <row r="2848" spans="1:11">
      <c r="A2848" s="568"/>
      <c r="B2848" s="593" t="s">
        <v>1110</v>
      </c>
      <c r="C2848" s="577"/>
      <c r="D2848" s="578">
        <v>1</v>
      </c>
      <c r="E2848" s="579" t="s">
        <v>8</v>
      </c>
      <c r="F2848" s="569">
        <v>1</v>
      </c>
      <c r="G2848" s="598">
        <v>1.5</v>
      </c>
      <c r="H2848" s="598">
        <v>2.1</v>
      </c>
      <c r="I2848" s="598"/>
      <c r="J2848" s="598">
        <f t="shared" si="306"/>
        <v>3.15</v>
      </c>
      <c r="K2848" s="588"/>
    </row>
    <row r="2849" spans="1:11">
      <c r="A2849" s="568"/>
      <c r="B2849" s="593" t="s">
        <v>1097</v>
      </c>
      <c r="C2849" s="577"/>
      <c r="D2849" s="578">
        <v>1</v>
      </c>
      <c r="E2849" s="579" t="s">
        <v>8</v>
      </c>
      <c r="F2849" s="569">
        <v>1</v>
      </c>
      <c r="G2849" s="598">
        <v>3.8</v>
      </c>
      <c r="H2849" s="598">
        <v>6.4</v>
      </c>
      <c r="I2849" s="598"/>
      <c r="J2849" s="598">
        <f t="shared" si="306"/>
        <v>24.32</v>
      </c>
      <c r="K2849" s="588"/>
    </row>
    <row r="2850" spans="1:11">
      <c r="A2850" s="568"/>
      <c r="B2850" s="593" t="s">
        <v>584</v>
      </c>
      <c r="C2850" s="577"/>
      <c r="D2850" s="578">
        <v>1</v>
      </c>
      <c r="E2850" s="579" t="s">
        <v>8</v>
      </c>
      <c r="F2850" s="569">
        <v>1</v>
      </c>
      <c r="G2850" s="598">
        <v>5.07</v>
      </c>
      <c r="H2850" s="598">
        <v>5</v>
      </c>
      <c r="I2850" s="598"/>
      <c r="J2850" s="598">
        <f t="shared" si="306"/>
        <v>25.35</v>
      </c>
      <c r="K2850" s="588"/>
    </row>
    <row r="2851" spans="1:11">
      <c r="A2851" s="568"/>
      <c r="B2851" s="593" t="s">
        <v>1102</v>
      </c>
      <c r="C2851" s="577"/>
      <c r="D2851" s="578">
        <v>1</v>
      </c>
      <c r="E2851" s="579" t="s">
        <v>8</v>
      </c>
      <c r="F2851" s="569">
        <v>1</v>
      </c>
      <c r="G2851" s="612">
        <v>2.375</v>
      </c>
      <c r="H2851" s="598">
        <v>0.6</v>
      </c>
      <c r="I2851" s="598"/>
      <c r="J2851" s="598">
        <f t="shared" si="306"/>
        <v>1.43</v>
      </c>
      <c r="K2851" s="588"/>
    </row>
    <row r="2852" spans="1:11">
      <c r="A2852" s="568"/>
      <c r="B2852" s="593" t="s">
        <v>1257</v>
      </c>
      <c r="C2852" s="577"/>
      <c r="D2852" s="578">
        <v>1</v>
      </c>
      <c r="E2852" s="579" t="s">
        <v>8</v>
      </c>
      <c r="F2852" s="569">
        <v>1</v>
      </c>
      <c r="G2852" s="612">
        <v>3.3</v>
      </c>
      <c r="H2852" s="598">
        <v>1.9</v>
      </c>
      <c r="I2852" s="598"/>
      <c r="J2852" s="598">
        <f t="shared" si="306"/>
        <v>6.27</v>
      </c>
      <c r="K2852" s="588"/>
    </row>
    <row r="2853" spans="1:11">
      <c r="A2853" s="568"/>
      <c r="B2853" s="584" t="s">
        <v>13</v>
      </c>
      <c r="C2853" s="577"/>
      <c r="G2853" s="612"/>
      <c r="H2853" s="598"/>
      <c r="I2853" s="598"/>
      <c r="J2853" s="598"/>
      <c r="K2853" s="588"/>
    </row>
    <row r="2854" spans="1:11">
      <c r="A2854" s="568"/>
      <c r="B2854" s="593" t="s">
        <v>1096</v>
      </c>
      <c r="C2854" s="577"/>
      <c r="D2854" s="578">
        <v>1</v>
      </c>
      <c r="E2854" s="579" t="s">
        <v>8</v>
      </c>
      <c r="F2854" s="569">
        <v>1</v>
      </c>
      <c r="G2854" s="659">
        <v>1.5</v>
      </c>
      <c r="H2854" s="612">
        <v>1.6</v>
      </c>
      <c r="I2854" s="598"/>
      <c r="J2854" s="598">
        <f t="shared" ref="J2854:J2865" si="307">ROUNDUP(PRODUCT(D2854:I2854),2)</f>
        <v>2.4</v>
      </c>
      <c r="K2854" s="588"/>
    </row>
    <row r="2855" spans="1:11">
      <c r="A2855" s="568"/>
      <c r="B2855" s="593" t="s">
        <v>1105</v>
      </c>
      <c r="C2855" s="577"/>
      <c r="D2855" s="578">
        <v>1</v>
      </c>
      <c r="E2855" s="579" t="s">
        <v>8</v>
      </c>
      <c r="F2855" s="569">
        <v>1</v>
      </c>
      <c r="G2855" s="659">
        <v>1.5</v>
      </c>
      <c r="H2855" s="612">
        <v>1.6</v>
      </c>
      <c r="I2855" s="598"/>
      <c r="J2855" s="598">
        <f t="shared" si="307"/>
        <v>2.4</v>
      </c>
      <c r="K2855" s="588"/>
    </row>
    <row r="2856" spans="1:11">
      <c r="A2856" s="568"/>
      <c r="B2856" s="593" t="s">
        <v>1228</v>
      </c>
      <c r="C2856" s="577"/>
      <c r="D2856" s="578">
        <v>1</v>
      </c>
      <c r="E2856" s="579" t="s">
        <v>8</v>
      </c>
      <c r="F2856" s="569">
        <v>1</v>
      </c>
      <c r="G2856" s="659">
        <v>2.2000000000000002</v>
      </c>
      <c r="H2856" s="612">
        <v>2.2000000000000002</v>
      </c>
      <c r="I2856" s="598"/>
      <c r="J2856" s="598">
        <f t="shared" si="307"/>
        <v>4.84</v>
      </c>
      <c r="K2856" s="588"/>
    </row>
    <row r="2857" spans="1:11">
      <c r="A2857" s="568"/>
      <c r="B2857" s="593" t="s">
        <v>592</v>
      </c>
      <c r="C2857" s="577"/>
      <c r="D2857" s="578">
        <v>1</v>
      </c>
      <c r="E2857" s="579" t="s">
        <v>8</v>
      </c>
      <c r="F2857" s="569">
        <v>1</v>
      </c>
      <c r="G2857" s="659">
        <v>2.2000000000000002</v>
      </c>
      <c r="H2857" s="612">
        <v>2.2000000000000002</v>
      </c>
      <c r="I2857" s="598"/>
      <c r="J2857" s="598">
        <f t="shared" si="307"/>
        <v>4.84</v>
      </c>
      <c r="K2857" s="588"/>
    </row>
    <row r="2858" spans="1:11">
      <c r="A2858" s="568"/>
      <c r="B2858" s="593" t="s">
        <v>1102</v>
      </c>
      <c r="C2858" s="577"/>
      <c r="D2858" s="578">
        <v>1</v>
      </c>
      <c r="E2858" s="579" t="s">
        <v>8</v>
      </c>
      <c r="F2858" s="569">
        <v>1</v>
      </c>
      <c r="G2858" s="659">
        <v>2.37</v>
      </c>
      <c r="H2858" s="612">
        <v>2.6</v>
      </c>
      <c r="I2858" s="598"/>
      <c r="J2858" s="598">
        <f t="shared" si="307"/>
        <v>6.17</v>
      </c>
      <c r="K2858" s="588"/>
    </row>
    <row r="2859" spans="1:11">
      <c r="A2859" s="568"/>
      <c r="B2859" s="593" t="s">
        <v>1103</v>
      </c>
      <c r="C2859" s="577"/>
      <c r="D2859" s="578">
        <v>1</v>
      </c>
      <c r="E2859" s="579" t="s">
        <v>8</v>
      </c>
      <c r="F2859" s="569">
        <v>1</v>
      </c>
      <c r="G2859" s="659">
        <v>2.5</v>
      </c>
      <c r="H2859" s="612">
        <v>2.6</v>
      </c>
      <c r="I2859" s="598"/>
      <c r="J2859" s="598">
        <f t="shared" si="307"/>
        <v>6.5</v>
      </c>
      <c r="K2859" s="588"/>
    </row>
    <row r="2860" spans="1:11">
      <c r="A2860" s="568"/>
      <c r="B2860" s="593" t="s">
        <v>1233</v>
      </c>
      <c r="C2860" s="577"/>
      <c r="D2860" s="578">
        <v>1</v>
      </c>
      <c r="E2860" s="579" t="s">
        <v>8</v>
      </c>
      <c r="F2860" s="569">
        <v>2</v>
      </c>
      <c r="G2860" s="659">
        <v>2.2000000000000002</v>
      </c>
      <c r="H2860" s="612">
        <v>2.2000000000000002</v>
      </c>
      <c r="I2860" s="598"/>
      <c r="J2860" s="598">
        <f t="shared" si="307"/>
        <v>9.68</v>
      </c>
      <c r="K2860" s="588"/>
    </row>
    <row r="2861" spans="1:11">
      <c r="A2861" s="568"/>
      <c r="B2861" s="593" t="s">
        <v>1110</v>
      </c>
      <c r="C2861" s="577"/>
      <c r="D2861" s="578">
        <v>1</v>
      </c>
      <c r="E2861" s="579" t="s">
        <v>8</v>
      </c>
      <c r="F2861" s="569">
        <v>1</v>
      </c>
      <c r="G2861" s="659">
        <v>1.5</v>
      </c>
      <c r="H2861" s="612">
        <v>1.6</v>
      </c>
      <c r="I2861" s="598"/>
      <c r="J2861" s="598">
        <f t="shared" si="307"/>
        <v>2.4</v>
      </c>
      <c r="K2861" s="588"/>
    </row>
    <row r="2862" spans="1:11">
      <c r="A2862" s="568"/>
      <c r="B2862" s="593" t="s">
        <v>1104</v>
      </c>
      <c r="C2862" s="577"/>
      <c r="D2862" s="578">
        <v>1</v>
      </c>
      <c r="E2862" s="579" t="s">
        <v>8</v>
      </c>
      <c r="F2862" s="569">
        <v>1</v>
      </c>
      <c r="G2862" s="612">
        <v>16.5</v>
      </c>
      <c r="H2862" s="598">
        <v>1.2</v>
      </c>
      <c r="I2862" s="598"/>
      <c r="J2862" s="598">
        <f t="shared" si="307"/>
        <v>19.8</v>
      </c>
      <c r="K2862" s="588"/>
    </row>
    <row r="2863" spans="1:11">
      <c r="A2863" s="568"/>
      <c r="B2863" s="593" t="s">
        <v>1104</v>
      </c>
      <c r="C2863" s="577"/>
      <c r="D2863" s="578">
        <v>1</v>
      </c>
      <c r="E2863" s="579" t="s">
        <v>8</v>
      </c>
      <c r="F2863" s="569">
        <v>1</v>
      </c>
      <c r="G2863" s="612">
        <v>13.2</v>
      </c>
      <c r="H2863" s="598">
        <v>1.5</v>
      </c>
      <c r="I2863" s="598"/>
      <c r="J2863" s="598">
        <f t="shared" si="307"/>
        <v>19.8</v>
      </c>
      <c r="K2863" s="588"/>
    </row>
    <row r="2864" spans="1:11">
      <c r="A2864" s="568"/>
      <c r="B2864" s="593" t="s">
        <v>1104</v>
      </c>
      <c r="C2864" s="577"/>
      <c r="D2864" s="578">
        <v>1</v>
      </c>
      <c r="E2864" s="579" t="s">
        <v>8</v>
      </c>
      <c r="F2864" s="569">
        <v>1</v>
      </c>
      <c r="G2864" s="612">
        <v>8</v>
      </c>
      <c r="H2864" s="598">
        <v>1.5</v>
      </c>
      <c r="I2864" s="598"/>
      <c r="J2864" s="598">
        <f t="shared" si="307"/>
        <v>12</v>
      </c>
      <c r="K2864" s="588"/>
    </row>
    <row r="2865" spans="1:11">
      <c r="A2865" s="568"/>
      <c r="B2865" s="593" t="s">
        <v>1258</v>
      </c>
      <c r="C2865" s="577"/>
      <c r="D2865" s="578">
        <v>1</v>
      </c>
      <c r="E2865" s="579" t="s">
        <v>8</v>
      </c>
      <c r="F2865" s="569">
        <v>1</v>
      </c>
      <c r="G2865" s="612">
        <v>0.8</v>
      </c>
      <c r="H2865" s="598">
        <v>1.9</v>
      </c>
      <c r="I2865" s="598"/>
      <c r="J2865" s="598">
        <f t="shared" si="307"/>
        <v>1.52</v>
      </c>
      <c r="K2865" s="588"/>
    </row>
    <row r="2866" spans="1:11">
      <c r="A2866" s="568"/>
      <c r="B2866" s="584" t="s">
        <v>1259</v>
      </c>
      <c r="C2866" s="577"/>
      <c r="G2866" s="612"/>
      <c r="H2866" s="598"/>
      <c r="I2866" s="598"/>
      <c r="J2866" s="598"/>
      <c r="K2866" s="588"/>
    </row>
    <row r="2867" spans="1:11">
      <c r="A2867" s="568"/>
      <c r="B2867" s="593" t="s">
        <v>1260</v>
      </c>
      <c r="C2867" s="577"/>
      <c r="D2867" s="578">
        <v>3</v>
      </c>
      <c r="E2867" s="579" t="s">
        <v>8</v>
      </c>
      <c r="F2867" s="569">
        <v>1</v>
      </c>
      <c r="G2867" s="598">
        <f>3.5+0.2+3.8</f>
        <v>7.5</v>
      </c>
      <c r="H2867" s="598">
        <v>3.3</v>
      </c>
      <c r="I2867" s="598"/>
      <c r="J2867" s="598">
        <f t="shared" ref="J2867:J2877" si="308">ROUNDUP(PRODUCT(D2867:I2867),2)</f>
        <v>74.25</v>
      </c>
      <c r="K2867" s="588"/>
    </row>
    <row r="2868" spans="1:11">
      <c r="A2868" s="568"/>
      <c r="B2868" s="593" t="s">
        <v>1225</v>
      </c>
      <c r="C2868" s="577"/>
      <c r="D2868" s="578">
        <v>3</v>
      </c>
      <c r="E2868" s="579" t="s">
        <v>8</v>
      </c>
      <c r="F2868" s="569">
        <v>5</v>
      </c>
      <c r="G2868" s="717">
        <v>12.75</v>
      </c>
      <c r="H2868" s="718"/>
      <c r="I2868" s="598"/>
      <c r="J2868" s="598">
        <f t="shared" si="308"/>
        <v>191.25</v>
      </c>
      <c r="K2868" s="588"/>
    </row>
    <row r="2869" spans="1:11">
      <c r="A2869" s="568"/>
      <c r="B2869" s="593" t="s">
        <v>1231</v>
      </c>
      <c r="C2869" s="577"/>
      <c r="D2869" s="578">
        <v>3</v>
      </c>
      <c r="E2869" s="579" t="s">
        <v>8</v>
      </c>
      <c r="F2869" s="569">
        <v>5</v>
      </c>
      <c r="G2869" s="717">
        <v>24.2</v>
      </c>
      <c r="H2869" s="718"/>
      <c r="I2869" s="598"/>
      <c r="J2869" s="598">
        <f t="shared" si="308"/>
        <v>363</v>
      </c>
      <c r="K2869" s="588"/>
    </row>
    <row r="2870" spans="1:11">
      <c r="A2870" s="568"/>
      <c r="B2870" s="593" t="s">
        <v>1231</v>
      </c>
      <c r="C2870" s="577"/>
      <c r="D2870" s="578">
        <v>3</v>
      </c>
      <c r="E2870" s="579" t="s">
        <v>8</v>
      </c>
      <c r="F2870" s="569">
        <v>3</v>
      </c>
      <c r="G2870" s="717">
        <v>24.26</v>
      </c>
      <c r="H2870" s="718"/>
      <c r="I2870" s="598"/>
      <c r="J2870" s="598">
        <f t="shared" si="308"/>
        <v>218.34</v>
      </c>
      <c r="K2870" s="588"/>
    </row>
    <row r="2871" spans="1:11">
      <c r="A2871" s="568"/>
      <c r="B2871" s="593" t="s">
        <v>1232</v>
      </c>
      <c r="C2871" s="577"/>
      <c r="D2871" s="578">
        <v>3</v>
      </c>
      <c r="E2871" s="579" t="s">
        <v>8</v>
      </c>
      <c r="F2871" s="569">
        <v>1</v>
      </c>
      <c r="G2871" s="659">
        <v>3.3</v>
      </c>
      <c r="H2871" s="612">
        <v>1.9</v>
      </c>
      <c r="I2871" s="598"/>
      <c r="J2871" s="598">
        <f t="shared" si="308"/>
        <v>18.809999999999999</v>
      </c>
      <c r="K2871" s="588"/>
    </row>
    <row r="2872" spans="1:11">
      <c r="A2872" s="568"/>
      <c r="B2872" s="593" t="s">
        <v>1225</v>
      </c>
      <c r="C2872" s="577"/>
      <c r="D2872" s="578">
        <v>3</v>
      </c>
      <c r="E2872" s="579" t="s">
        <v>8</v>
      </c>
      <c r="F2872" s="569">
        <v>5</v>
      </c>
      <c r="G2872" s="724">
        <v>3.43</v>
      </c>
      <c r="H2872" s="724"/>
      <c r="I2872" s="598"/>
      <c r="J2872" s="598">
        <f t="shared" si="308"/>
        <v>51.45</v>
      </c>
      <c r="K2872" s="588"/>
    </row>
    <row r="2873" spans="1:11">
      <c r="A2873" s="568"/>
      <c r="B2873" s="593" t="s">
        <v>1193</v>
      </c>
      <c r="C2873" s="577"/>
      <c r="D2873" s="578">
        <v>3</v>
      </c>
      <c r="E2873" s="579" t="s">
        <v>8</v>
      </c>
      <c r="F2873" s="569">
        <v>1</v>
      </c>
      <c r="G2873" s="598">
        <v>5.07</v>
      </c>
      <c r="H2873" s="598">
        <v>7.8</v>
      </c>
      <c r="I2873" s="598"/>
      <c r="J2873" s="598">
        <f t="shared" si="308"/>
        <v>118.64</v>
      </c>
      <c r="K2873" s="588"/>
    </row>
    <row r="2874" spans="1:11">
      <c r="A2874" s="568"/>
      <c r="B2874" s="593" t="s">
        <v>1104</v>
      </c>
      <c r="C2874" s="577"/>
      <c r="D2874" s="578">
        <v>3</v>
      </c>
      <c r="E2874" s="579" t="s">
        <v>8</v>
      </c>
      <c r="F2874" s="569">
        <v>1</v>
      </c>
      <c r="G2874" s="612">
        <v>16.5</v>
      </c>
      <c r="H2874" s="598">
        <v>1.2</v>
      </c>
      <c r="I2874" s="598"/>
      <c r="J2874" s="598">
        <f t="shared" si="308"/>
        <v>59.4</v>
      </c>
      <c r="K2874" s="588"/>
    </row>
    <row r="2875" spans="1:11">
      <c r="A2875" s="568"/>
      <c r="B2875" s="593" t="s">
        <v>1104</v>
      </c>
      <c r="C2875" s="577"/>
      <c r="D2875" s="578">
        <v>3</v>
      </c>
      <c r="E2875" s="579" t="s">
        <v>8</v>
      </c>
      <c r="F2875" s="569">
        <v>1</v>
      </c>
      <c r="G2875" s="612">
        <v>13.2</v>
      </c>
      <c r="H2875" s="598">
        <v>1.5</v>
      </c>
      <c r="I2875" s="598"/>
      <c r="J2875" s="598">
        <f t="shared" si="308"/>
        <v>59.4</v>
      </c>
      <c r="K2875" s="588"/>
    </row>
    <row r="2876" spans="1:11">
      <c r="A2876" s="568"/>
      <c r="B2876" s="593" t="s">
        <v>1104</v>
      </c>
      <c r="C2876" s="577"/>
      <c r="D2876" s="578">
        <v>3</v>
      </c>
      <c r="E2876" s="579" t="s">
        <v>8</v>
      </c>
      <c r="F2876" s="569">
        <v>1</v>
      </c>
      <c r="G2876" s="612">
        <v>8</v>
      </c>
      <c r="H2876" s="598">
        <v>1.5</v>
      </c>
      <c r="I2876" s="598"/>
      <c r="J2876" s="598">
        <f t="shared" si="308"/>
        <v>36</v>
      </c>
      <c r="K2876" s="588"/>
    </row>
    <row r="2877" spans="1:11">
      <c r="A2877" s="568"/>
      <c r="B2877" s="593" t="s">
        <v>1258</v>
      </c>
      <c r="C2877" s="577"/>
      <c r="D2877" s="578">
        <v>3</v>
      </c>
      <c r="E2877" s="579" t="s">
        <v>8</v>
      </c>
      <c r="F2877" s="569">
        <v>1</v>
      </c>
      <c r="G2877" s="612">
        <v>0.8</v>
      </c>
      <c r="H2877" s="598">
        <v>1.9</v>
      </c>
      <c r="I2877" s="598"/>
      <c r="J2877" s="598">
        <f t="shared" si="308"/>
        <v>4.5599999999999996</v>
      </c>
      <c r="K2877" s="588"/>
    </row>
    <row r="2878" spans="1:11">
      <c r="A2878" s="568"/>
      <c r="B2878" s="593" t="s">
        <v>614</v>
      </c>
      <c r="C2878" s="589"/>
      <c r="G2878" s="590"/>
      <c r="H2878" s="591"/>
      <c r="I2878" s="591"/>
      <c r="J2878" s="591"/>
      <c r="K2878" s="588"/>
    </row>
    <row r="2879" spans="1:11">
      <c r="A2879" s="568"/>
      <c r="B2879" s="593" t="s">
        <v>503</v>
      </c>
      <c r="C2879" s="589"/>
      <c r="D2879" s="578">
        <v>3</v>
      </c>
      <c r="E2879" s="579" t="s">
        <v>8</v>
      </c>
      <c r="F2879" s="569">
        <v>2</v>
      </c>
      <c r="G2879" s="590">
        <v>3</v>
      </c>
      <c r="H2879" s="591">
        <v>1.5</v>
      </c>
      <c r="I2879" s="591"/>
      <c r="J2879" s="591">
        <f t="shared" ref="J2879:J2881" si="309">PRODUCT(D2879:I2879)</f>
        <v>27</v>
      </c>
      <c r="K2879" s="588"/>
    </row>
    <row r="2880" spans="1:11">
      <c r="A2880" s="568"/>
      <c r="B2880" s="593" t="s">
        <v>502</v>
      </c>
      <c r="C2880" s="589"/>
      <c r="D2880" s="578">
        <v>3</v>
      </c>
      <c r="E2880" s="579" t="s">
        <v>8</v>
      </c>
      <c r="F2880" s="569">
        <v>1</v>
      </c>
      <c r="G2880" s="725">
        <v>4.8600000000000003</v>
      </c>
      <c r="H2880" s="726"/>
      <c r="I2880" s="591"/>
      <c r="J2880" s="591">
        <f t="shared" si="309"/>
        <v>14.580000000000002</v>
      </c>
      <c r="K2880" s="588"/>
    </row>
    <row r="2881" spans="1:11">
      <c r="A2881" s="568"/>
      <c r="B2881" s="593" t="s">
        <v>610</v>
      </c>
      <c r="C2881" s="589"/>
      <c r="D2881" s="578">
        <v>3</v>
      </c>
      <c r="E2881" s="579" t="s">
        <v>8</v>
      </c>
      <c r="F2881" s="569">
        <v>1</v>
      </c>
      <c r="G2881" s="725">
        <v>1.44</v>
      </c>
      <c r="H2881" s="726"/>
      <c r="I2881" s="591"/>
      <c r="J2881" s="591">
        <f t="shared" si="309"/>
        <v>4.32</v>
      </c>
      <c r="K2881" s="588"/>
    </row>
    <row r="2882" spans="1:11">
      <c r="A2882" s="568"/>
      <c r="B2882" s="593" t="s">
        <v>615</v>
      </c>
      <c r="C2882" s="589"/>
      <c r="G2882" s="590"/>
      <c r="H2882" s="591"/>
      <c r="I2882" s="591"/>
      <c r="J2882" s="591"/>
      <c r="K2882" s="588"/>
    </row>
    <row r="2883" spans="1:11">
      <c r="A2883" s="568"/>
      <c r="B2883" s="593" t="s">
        <v>503</v>
      </c>
      <c r="C2883" s="589"/>
      <c r="D2883" s="578">
        <v>3</v>
      </c>
      <c r="E2883" s="579" t="s">
        <v>8</v>
      </c>
      <c r="F2883" s="569">
        <v>2</v>
      </c>
      <c r="G2883" s="590">
        <v>3</v>
      </c>
      <c r="H2883" s="591">
        <v>1.5</v>
      </c>
      <c r="I2883" s="591"/>
      <c r="J2883" s="591">
        <f t="shared" ref="J2883:J2885" si="310">PRODUCT(D2883:I2883)</f>
        <v>27</v>
      </c>
      <c r="K2883" s="588"/>
    </row>
    <row r="2884" spans="1:11">
      <c r="A2884" s="568"/>
      <c r="B2884" s="593" t="s">
        <v>502</v>
      </c>
      <c r="C2884" s="589"/>
      <c r="D2884" s="578">
        <v>3</v>
      </c>
      <c r="E2884" s="579" t="s">
        <v>8</v>
      </c>
      <c r="F2884" s="569">
        <v>1</v>
      </c>
      <c r="G2884" s="725">
        <v>4.8600000000000003</v>
      </c>
      <c r="H2884" s="726"/>
      <c r="I2884" s="591"/>
      <c r="J2884" s="591">
        <f t="shared" si="310"/>
        <v>14.580000000000002</v>
      </c>
      <c r="K2884" s="588"/>
    </row>
    <row r="2885" spans="1:11">
      <c r="A2885" s="568"/>
      <c r="B2885" s="593" t="s">
        <v>610</v>
      </c>
      <c r="C2885" s="589"/>
      <c r="D2885" s="578">
        <v>3</v>
      </c>
      <c r="E2885" s="579" t="s">
        <v>8</v>
      </c>
      <c r="F2885" s="569">
        <v>1</v>
      </c>
      <c r="G2885" s="725">
        <v>1.44</v>
      </c>
      <c r="H2885" s="726"/>
      <c r="I2885" s="591"/>
      <c r="J2885" s="591">
        <f t="shared" si="310"/>
        <v>4.32</v>
      </c>
      <c r="K2885" s="588"/>
    </row>
    <row r="2886" spans="1:11">
      <c r="A2886" s="568"/>
      <c r="B2886" s="584" t="s">
        <v>60</v>
      </c>
      <c r="C2886" s="577"/>
      <c r="G2886" s="612"/>
      <c r="H2886" s="598"/>
      <c r="I2886" s="598"/>
      <c r="J2886" s="598"/>
      <c r="K2886" s="588"/>
    </row>
    <row r="2887" spans="1:11">
      <c r="A2887" s="568"/>
      <c r="B2887" s="593" t="s">
        <v>640</v>
      </c>
      <c r="C2887" s="577"/>
      <c r="D2887" s="578">
        <v>1</v>
      </c>
      <c r="E2887" s="579" t="s">
        <v>8</v>
      </c>
      <c r="F2887" s="569">
        <v>1</v>
      </c>
      <c r="G2887" s="659">
        <v>4.6500000000000004</v>
      </c>
      <c r="H2887" s="612">
        <v>1.9</v>
      </c>
      <c r="I2887" s="598"/>
      <c r="J2887" s="598">
        <f t="shared" ref="J2887:J2888" si="311">ROUNDUP(PRODUCT(D2887:I2887),2)</f>
        <v>8.84</v>
      </c>
      <c r="K2887" s="588"/>
    </row>
    <row r="2888" spans="1:11">
      <c r="A2888" s="568"/>
      <c r="B2888" s="593" t="s">
        <v>641</v>
      </c>
      <c r="C2888" s="577"/>
      <c r="D2888" s="578">
        <v>1</v>
      </c>
      <c r="E2888" s="579" t="s">
        <v>8</v>
      </c>
      <c r="F2888" s="569">
        <v>2</v>
      </c>
      <c r="G2888" s="612">
        <v>3.3</v>
      </c>
      <c r="H2888" s="598">
        <v>6.9</v>
      </c>
      <c r="I2888" s="598"/>
      <c r="J2888" s="598">
        <f t="shared" si="311"/>
        <v>45.54</v>
      </c>
      <c r="K2888" s="588"/>
    </row>
    <row r="2889" spans="1:11">
      <c r="A2889" s="568"/>
      <c r="B2889" s="593" t="s">
        <v>643</v>
      </c>
      <c r="C2889" s="577"/>
      <c r="G2889" s="612"/>
      <c r="H2889" s="598"/>
      <c r="I2889" s="598"/>
      <c r="J2889" s="598"/>
      <c r="K2889" s="588"/>
    </row>
    <row r="2890" spans="1:11">
      <c r="A2890" s="568"/>
      <c r="B2890" s="593" t="s">
        <v>503</v>
      </c>
      <c r="C2890" s="589"/>
      <c r="D2890" s="578">
        <v>1</v>
      </c>
      <c r="E2890" s="579" t="s">
        <v>8</v>
      </c>
      <c r="F2890" s="569">
        <v>1</v>
      </c>
      <c r="G2890" s="590">
        <v>2.5</v>
      </c>
      <c r="H2890" s="591">
        <v>1</v>
      </c>
      <c r="I2890" s="591"/>
      <c r="J2890" s="591">
        <f>PRODUCT(D2890:I2890)</f>
        <v>2.5</v>
      </c>
      <c r="K2890" s="588"/>
    </row>
    <row r="2891" spans="1:11">
      <c r="A2891" s="568"/>
      <c r="B2891" s="593" t="s">
        <v>610</v>
      </c>
      <c r="C2891" s="589"/>
      <c r="D2891" s="578">
        <v>1</v>
      </c>
      <c r="E2891" s="579" t="s">
        <v>8</v>
      </c>
      <c r="F2891" s="569">
        <v>1</v>
      </c>
      <c r="G2891" s="590">
        <v>1.5</v>
      </c>
      <c r="H2891" s="591">
        <v>1</v>
      </c>
      <c r="I2891" s="591"/>
      <c r="J2891" s="591">
        <f>PRODUCT(D2891:I2891)</f>
        <v>1.5</v>
      </c>
      <c r="K2891" s="588"/>
    </row>
    <row r="2892" spans="1:11">
      <c r="A2892" s="568"/>
      <c r="B2892" s="584" t="s">
        <v>21</v>
      </c>
      <c r="C2892" s="577"/>
      <c r="G2892" s="612"/>
      <c r="H2892" s="598"/>
      <c r="I2892" s="598"/>
      <c r="J2892" s="598"/>
      <c r="K2892" s="581"/>
    </row>
    <row r="2893" spans="1:11">
      <c r="A2893" s="568"/>
      <c r="B2893" s="593" t="s">
        <v>21</v>
      </c>
      <c r="C2893" s="577"/>
      <c r="D2893" s="676">
        <v>1</v>
      </c>
      <c r="E2893" s="677" t="s">
        <v>8</v>
      </c>
      <c r="F2893" s="678">
        <v>1</v>
      </c>
      <c r="G2893" s="612">
        <v>2.5</v>
      </c>
      <c r="H2893" s="598">
        <v>1.5</v>
      </c>
      <c r="I2893" s="598"/>
      <c r="J2893" s="598">
        <f t="shared" ref="J2893" si="312">ROUNDUP(PRODUCT(D2893:I2893),2)</f>
        <v>3.75</v>
      </c>
      <c r="K2893" s="581"/>
    </row>
    <row r="2894" spans="1:11">
      <c r="A2894" s="568"/>
      <c r="B2894" s="593" t="s">
        <v>1334</v>
      </c>
      <c r="C2894" s="609"/>
      <c r="D2894" s="578">
        <v>2</v>
      </c>
      <c r="E2894" s="579" t="s">
        <v>8</v>
      </c>
      <c r="F2894" s="569">
        <v>1</v>
      </c>
      <c r="G2894" s="604">
        <v>2.5</v>
      </c>
      <c r="H2894" s="600"/>
      <c r="I2894" s="600">
        <v>2.2000000000000002</v>
      </c>
      <c r="J2894" s="596">
        <f t="shared" ref="J2894:J2895" si="313">PRODUCT(D2894:I2894)</f>
        <v>11</v>
      </c>
      <c r="K2894" s="581"/>
    </row>
    <row r="2895" spans="1:11">
      <c r="A2895" s="568"/>
      <c r="B2895" s="593" t="s">
        <v>13</v>
      </c>
      <c r="C2895" s="609"/>
      <c r="D2895" s="578">
        <v>1</v>
      </c>
      <c r="E2895" s="579" t="s">
        <v>8</v>
      </c>
      <c r="F2895" s="569">
        <v>1</v>
      </c>
      <c r="G2895" s="604">
        <v>1.2</v>
      </c>
      <c r="H2895" s="600"/>
      <c r="I2895" s="600">
        <v>2</v>
      </c>
      <c r="J2895" s="596">
        <f t="shared" si="313"/>
        <v>2.4</v>
      </c>
      <c r="K2895" s="581"/>
    </row>
    <row r="2896" spans="1:11">
      <c r="A2896" s="568"/>
      <c r="B2896" s="593"/>
      <c r="C2896" s="577"/>
      <c r="D2896" s="680"/>
      <c r="E2896" s="681"/>
      <c r="F2896" s="682"/>
      <c r="G2896" s="612"/>
      <c r="H2896" s="598"/>
      <c r="I2896" s="598"/>
      <c r="J2896" s="614">
        <f>SUM(J2838:J2895)</f>
        <v>1782.3199999999997</v>
      </c>
      <c r="K2896" s="581"/>
    </row>
    <row r="2897" spans="1:11">
      <c r="A2897" s="568"/>
      <c r="B2897" s="622" t="s">
        <v>28</v>
      </c>
      <c r="C2897" s="577"/>
      <c r="G2897" s="612"/>
      <c r="H2897" s="598"/>
      <c r="I2897" s="598"/>
      <c r="J2897" s="605">
        <f>ROUNDUP(J2896,0)</f>
        <v>1783</v>
      </c>
      <c r="K2897" s="576" t="s">
        <v>9</v>
      </c>
    </row>
    <row r="2898" spans="1:11">
      <c r="A2898" s="568"/>
      <c r="B2898" s="593"/>
      <c r="C2898" s="577"/>
      <c r="G2898" s="612"/>
      <c r="H2898" s="598"/>
      <c r="I2898" s="598"/>
      <c r="J2898" s="598"/>
      <c r="K2898" s="581"/>
    </row>
    <row r="2899" spans="1:11" ht="126.6" customHeight="1">
      <c r="A2899" s="568">
        <f>A2835+1</f>
        <v>54</v>
      </c>
      <c r="B2899" s="723" t="str">
        <f>'BOQ-C&amp;I'!C187</f>
        <v>Supplying and painting of  2 coats of weather proof exterior emulsion with high sheen, anti algal properties over one coat wall exterior primer of approved quality and shade etc., complete.Rate including all brush, ladder, scrapping, washing, materials, labour charges, wastages , cleaning, necessary lead and lifts, scaffolding, stagging, working at all levels, elevations, transportation charges, loading, unloading, curing, sanding, touch-up putty, surface thoroughly cleaned and wetted before painting as complete with all respects complying with relevant standard specification and as directed by the departmental officers.</v>
      </c>
      <c r="C2899" s="723"/>
      <c r="D2899" s="723"/>
      <c r="E2899" s="723"/>
      <c r="F2899" s="723"/>
      <c r="G2899" s="723"/>
      <c r="H2899" s="723"/>
      <c r="I2899" s="723"/>
      <c r="J2899" s="723"/>
      <c r="K2899" s="723"/>
    </row>
    <row r="2900" spans="1:11">
      <c r="A2900" s="568"/>
      <c r="B2900" s="593" t="s">
        <v>49</v>
      </c>
      <c r="C2900" s="577"/>
      <c r="G2900" s="612"/>
      <c r="H2900" s="598"/>
      <c r="I2900" s="598"/>
      <c r="J2900" s="614">
        <f>+J2601</f>
        <v>3113</v>
      </c>
      <c r="K2900" s="576" t="s">
        <v>9</v>
      </c>
    </row>
    <row r="2901" spans="1:11" ht="156" customHeight="1">
      <c r="A2901" s="568">
        <f>A2899+1</f>
        <v>55</v>
      </c>
      <c r="B2901" s="723" t="str">
        <f>'BOQ-C&amp;I'!C188</f>
        <v>Providing and applying Texture paint finish for exterior / interior surface as per Manufacturers specification and as directed. Application of primer by diluting the  texture compound by mineral on the plastered surface and apply final two coats of exterior / interior emulsion on the primer. Rate including all brush, ladder, scrapping, washing, materials, labour charges, wastages , cleaning, necessary lead and lifts, scaffolding, stagging, working at all levels, elevations,  transportation charges, loading, unloading, curing, sanding, touch-up putty, surface thoroughly cleaned and wetted before painting as complete with all respects complying with relevant standard specification and as directed by the departmental officers..( Internal surfaces)</v>
      </c>
      <c r="C2901" s="723"/>
      <c r="D2901" s="723"/>
      <c r="E2901" s="723"/>
      <c r="F2901" s="723"/>
      <c r="G2901" s="723"/>
      <c r="H2901" s="723"/>
      <c r="I2901" s="723"/>
      <c r="J2901" s="723"/>
      <c r="K2901" s="723"/>
    </row>
    <row r="2902" spans="1:11">
      <c r="A2902" s="568"/>
      <c r="B2902" s="593" t="s">
        <v>506</v>
      </c>
      <c r="C2902" s="589"/>
      <c r="D2902" s="578">
        <v>1</v>
      </c>
      <c r="E2902" s="579" t="s">
        <v>8</v>
      </c>
      <c r="F2902" s="569">
        <v>1</v>
      </c>
      <c r="G2902" s="725">
        <v>50</v>
      </c>
      <c r="H2902" s="726"/>
      <c r="I2902" s="591"/>
      <c r="J2902" s="614">
        <f>ROUNDUP(PRODUCT(D2902:I2902),2)</f>
        <v>50</v>
      </c>
      <c r="K2902" s="592" t="s">
        <v>9</v>
      </c>
    </row>
    <row r="2903" spans="1:11" ht="36">
      <c r="A2903" s="568"/>
      <c r="B2903" s="584" t="str">
        <f>'BOQ-C&amp;I'!C190</f>
        <v xml:space="preserve">WATER PROOFING WORKS </v>
      </c>
      <c r="C2903" s="577"/>
      <c r="G2903" s="612"/>
      <c r="H2903" s="598"/>
      <c r="I2903" s="598"/>
      <c r="J2903" s="598"/>
      <c r="K2903" s="581"/>
    </row>
    <row r="2904" spans="1:11" ht="197.45" customHeight="1">
      <c r="A2904" s="568"/>
      <c r="B2904" s="723" t="str">
        <f>'BOQ-C&amp;I'!C191</f>
        <v>Supply and laying of respective water proofing treatment at below mentioned locations including all below activities.The surface to be waterproofed shall be cleaned to ensure it is free of laitance, loose particles, oily substance which may affect the adhesion of the waterproofing system, using mechanical rotary wire brush and related tools etc. Rate including all materials, labour charges, wastages with necessary lead and lifts, working at all levels, transportation charges, loading, unloading, preparation of surface, necessary hacking in RCC surface, scaffolding, staging, tools and plants, fuel, curing,  cleaning, testing, consumables and also include for conducting leakage test at toilet sunken portion and over head tanks by storing water on the sunken continuously for a period of 7 days etc. as complete with all respects complying with relevant standard specification and as directed by the departmental officers.</v>
      </c>
      <c r="C2904" s="723"/>
      <c r="D2904" s="723"/>
      <c r="E2904" s="723"/>
      <c r="F2904" s="723"/>
      <c r="G2904" s="723"/>
      <c r="H2904" s="723"/>
      <c r="I2904" s="723"/>
      <c r="J2904" s="723"/>
      <c r="K2904" s="723"/>
    </row>
    <row r="2905" spans="1:11" ht="61.5" customHeight="1">
      <c r="A2905" s="568">
        <f>A2901+1</f>
        <v>56</v>
      </c>
      <c r="B2905" s="723" t="str">
        <f>'BOQ-C&amp;I'!C192</f>
        <v xml:space="preserve">Supply and laying water proofing treatment on top of PCC laid for Grade slab, Raft, Pile cap ,footing  &amp; beam, UG Sump , Water tank etc., in the following order and  consisting of following operations. </v>
      </c>
      <c r="C2905" s="723"/>
      <c r="D2905" s="723"/>
      <c r="E2905" s="723"/>
      <c r="F2905" s="723"/>
      <c r="G2905" s="723"/>
      <c r="H2905" s="723"/>
      <c r="I2905" s="723"/>
      <c r="J2905" s="723"/>
      <c r="K2905" s="723"/>
    </row>
    <row r="2906" spans="1:11" ht="61.5" customHeight="1">
      <c r="A2906" s="568"/>
      <c r="B2906" s="723" t="str">
        <f>'BOQ-C&amp;I'!C193</f>
        <v xml:space="preserve">i) Supply and applying  of one coat of TAPECRETE Acrylic Polymer Cementitious Coating over rendered PCC surface. Application of CORCHEM 206 – I High Build Polyurethane Based Elastomeric Coating to the thickness of 1.5 mm in two coats over TAPECRETE applied surface. </v>
      </c>
      <c r="C2906" s="723"/>
      <c r="D2906" s="723"/>
      <c r="E2906" s="723"/>
      <c r="F2906" s="723"/>
      <c r="G2906" s="723"/>
      <c r="H2906" s="723"/>
      <c r="I2906" s="723"/>
      <c r="J2906" s="723"/>
      <c r="K2906" s="723"/>
    </row>
    <row r="2907" spans="1:11" ht="18" customHeight="1">
      <c r="A2907" s="568"/>
      <c r="B2907" s="723" t="str">
        <f>'BOQ-C&amp;I'!C194</f>
        <v xml:space="preserve">ii)Supply and Fixing 75 mm long 18 mm dia GI nozzles in the hole of about half the depth of member size in grid pattern at a spacing not more than 1.0 meter c/c while casting the raft slab and along  construction joints at a spacing not more than 1.0 meter c/c along the construction joints. </v>
      </c>
      <c r="C2907" s="723"/>
      <c r="D2907" s="723"/>
      <c r="E2907" s="723"/>
      <c r="F2907" s="723"/>
      <c r="G2907" s="723"/>
      <c r="H2907" s="723"/>
      <c r="I2907" s="723"/>
      <c r="J2907" s="723"/>
      <c r="K2907" s="723"/>
    </row>
    <row r="2908" spans="1:11" ht="57.75" customHeight="1">
      <c r="A2908" s="568"/>
      <c r="B2908" s="723" t="str">
        <f>'BOQ-C&amp;I'!C195</f>
        <v>iii) Supply and Applying injection grouting through the nozzles grouting pumps with a minimum pressure of 2 kg/sqcm with cement slurry admixed with CICO Non shrink Polymeric Water Proof Grouting Compound or approved equivalent at the rate of 2% by weight of cement.</v>
      </c>
      <c r="C2908" s="723"/>
      <c r="D2908" s="723"/>
      <c r="E2908" s="723"/>
      <c r="F2908" s="723"/>
      <c r="G2908" s="723"/>
      <c r="H2908" s="723"/>
      <c r="I2908" s="723"/>
      <c r="J2908" s="723"/>
      <c r="K2908" s="723"/>
    </row>
    <row r="2909" spans="1:11" ht="38.25" customHeight="1">
      <c r="A2909" s="568"/>
      <c r="B2909" s="723" t="str">
        <f>'BOQ-C&amp;I'!C196</f>
        <v>iv) Sealing &amp; cutting of the nozzles, and levelling the surface using integral Waterproofing compound CICO NO.3 or approved equivalent in the ratio 1:1by weight.</v>
      </c>
      <c r="C2909" s="723"/>
      <c r="D2909" s="723"/>
      <c r="E2909" s="723"/>
      <c r="F2909" s="723"/>
      <c r="G2909" s="723"/>
      <c r="H2909" s="723"/>
      <c r="I2909" s="723"/>
      <c r="J2909" s="723"/>
      <c r="K2909" s="723"/>
    </row>
    <row r="2910" spans="1:11">
      <c r="A2910" s="568"/>
      <c r="B2910" s="584" t="s">
        <v>648</v>
      </c>
      <c r="C2910" s="589"/>
      <c r="G2910" s="590"/>
      <c r="H2910" s="591"/>
      <c r="I2910" s="588"/>
      <c r="J2910" s="588"/>
      <c r="K2910" s="588"/>
    </row>
    <row r="2911" spans="1:11">
      <c r="A2911" s="568"/>
      <c r="B2911" s="593" t="s">
        <v>649</v>
      </c>
      <c r="C2911" s="589"/>
      <c r="D2911" s="578">
        <v>0</v>
      </c>
      <c r="E2911" s="579" t="s">
        <v>8</v>
      </c>
      <c r="F2911" s="569">
        <v>5</v>
      </c>
      <c r="G2911" s="594">
        <f>3.3</f>
        <v>3.3</v>
      </c>
      <c r="H2911" s="595">
        <f>2.3</f>
        <v>2.2999999999999998</v>
      </c>
      <c r="I2911" s="588"/>
      <c r="J2911" s="597">
        <f t="shared" ref="J2911:J2937" si="314">PRODUCT(D2911:I2911)</f>
        <v>0</v>
      </c>
      <c r="K2911" s="588"/>
    </row>
    <row r="2912" spans="1:11">
      <c r="A2912" s="568"/>
      <c r="B2912" s="593" t="s">
        <v>650</v>
      </c>
      <c r="C2912" s="589"/>
      <c r="D2912" s="578">
        <v>0</v>
      </c>
      <c r="E2912" s="579" t="s">
        <v>8</v>
      </c>
      <c r="F2912" s="569">
        <v>2</v>
      </c>
      <c r="G2912" s="594">
        <f>2.55</f>
        <v>2.5499999999999998</v>
      </c>
      <c r="H2912" s="594">
        <f>2.55</f>
        <v>2.5499999999999998</v>
      </c>
      <c r="I2912" s="588"/>
      <c r="J2912" s="597">
        <f t="shared" si="314"/>
        <v>0</v>
      </c>
      <c r="K2912" s="588"/>
    </row>
    <row r="2913" spans="1:11">
      <c r="A2913" s="568"/>
      <c r="B2913" s="593" t="s">
        <v>651</v>
      </c>
      <c r="C2913" s="589"/>
      <c r="D2913" s="578">
        <v>0</v>
      </c>
      <c r="E2913" s="579" t="s">
        <v>8</v>
      </c>
      <c r="F2913" s="569">
        <v>7</v>
      </c>
      <c r="G2913" s="598">
        <f>2.8</f>
        <v>2.8</v>
      </c>
      <c r="H2913" s="598">
        <f>2.1</f>
        <v>2.1</v>
      </c>
      <c r="I2913" s="588"/>
      <c r="J2913" s="597">
        <f t="shared" si="314"/>
        <v>0</v>
      </c>
      <c r="K2913" s="588"/>
    </row>
    <row r="2914" spans="1:11">
      <c r="A2914" s="568"/>
      <c r="B2914" s="593" t="s">
        <v>652</v>
      </c>
      <c r="C2914" s="589"/>
      <c r="D2914" s="578">
        <v>0</v>
      </c>
      <c r="E2914" s="579" t="s">
        <v>8</v>
      </c>
      <c r="F2914" s="569">
        <v>1</v>
      </c>
      <c r="G2914" s="594">
        <f>3.2</f>
        <v>3.2</v>
      </c>
      <c r="H2914" s="594">
        <f>2.5</f>
        <v>2.5</v>
      </c>
      <c r="I2914" s="588"/>
      <c r="J2914" s="597">
        <f t="shared" si="314"/>
        <v>0</v>
      </c>
      <c r="K2914" s="588"/>
    </row>
    <row r="2915" spans="1:11">
      <c r="A2915" s="568"/>
      <c r="B2915" s="593" t="s">
        <v>653</v>
      </c>
      <c r="C2915" s="589"/>
      <c r="D2915" s="578">
        <v>0</v>
      </c>
      <c r="E2915" s="579" t="s">
        <v>8</v>
      </c>
      <c r="F2915" s="569">
        <v>1</v>
      </c>
      <c r="G2915" s="594">
        <f>2.5</f>
        <v>2.5</v>
      </c>
      <c r="H2915" s="594">
        <f>2.5</f>
        <v>2.5</v>
      </c>
      <c r="I2915" s="588"/>
      <c r="J2915" s="597">
        <f t="shared" si="314"/>
        <v>0</v>
      </c>
      <c r="K2915" s="588"/>
    </row>
    <row r="2916" spans="1:11">
      <c r="A2916" s="568"/>
      <c r="B2916" s="593" t="s">
        <v>654</v>
      </c>
      <c r="C2916" s="589"/>
      <c r="D2916" s="578">
        <v>0</v>
      </c>
      <c r="E2916" s="579" t="s">
        <v>8</v>
      </c>
      <c r="F2916" s="569">
        <v>2</v>
      </c>
      <c r="G2916" s="594">
        <f>1.85</f>
        <v>1.85</v>
      </c>
      <c r="H2916" s="594">
        <f>1.45</f>
        <v>1.45</v>
      </c>
      <c r="I2916" s="588"/>
      <c r="J2916" s="597">
        <f t="shared" si="314"/>
        <v>0</v>
      </c>
      <c r="K2916" s="588"/>
    </row>
    <row r="2917" spans="1:11">
      <c r="A2917" s="568"/>
      <c r="B2917" s="593" t="s">
        <v>655</v>
      </c>
      <c r="C2917" s="589"/>
      <c r="D2917" s="578">
        <v>0</v>
      </c>
      <c r="E2917" s="579" t="s">
        <v>8</v>
      </c>
      <c r="F2917" s="569">
        <v>1</v>
      </c>
      <c r="G2917" s="594">
        <f>3.2</f>
        <v>3.2</v>
      </c>
      <c r="H2917" s="594">
        <f>2.6</f>
        <v>2.6</v>
      </c>
      <c r="I2917" s="588"/>
      <c r="J2917" s="597">
        <f t="shared" si="314"/>
        <v>0</v>
      </c>
      <c r="K2917" s="588"/>
    </row>
    <row r="2918" spans="1:11">
      <c r="A2918" s="568"/>
      <c r="B2918" s="593" t="s">
        <v>1006</v>
      </c>
      <c r="C2918" s="589"/>
      <c r="D2918" s="578">
        <v>0</v>
      </c>
      <c r="E2918" s="579" t="s">
        <v>8</v>
      </c>
      <c r="F2918" s="569">
        <v>2</v>
      </c>
      <c r="G2918" s="594">
        <f>2.5</f>
        <v>2.5</v>
      </c>
      <c r="H2918" s="594">
        <f>1.9</f>
        <v>1.9</v>
      </c>
      <c r="I2918" s="588"/>
      <c r="J2918" s="597">
        <f t="shared" si="314"/>
        <v>0</v>
      </c>
      <c r="K2918" s="588"/>
    </row>
    <row r="2919" spans="1:11">
      <c r="A2919" s="568"/>
      <c r="B2919" s="593" t="s">
        <v>1007</v>
      </c>
      <c r="C2919" s="589"/>
      <c r="D2919" s="578">
        <v>0</v>
      </c>
      <c r="E2919" s="579" t="s">
        <v>8</v>
      </c>
      <c r="F2919" s="569">
        <v>1</v>
      </c>
      <c r="G2919" s="594">
        <v>3.65</v>
      </c>
      <c r="H2919" s="594">
        <f>2.65</f>
        <v>2.65</v>
      </c>
      <c r="I2919" s="588"/>
      <c r="J2919" s="597">
        <f t="shared" si="314"/>
        <v>0</v>
      </c>
      <c r="K2919" s="588"/>
    </row>
    <row r="2920" spans="1:11">
      <c r="A2920" s="568"/>
      <c r="B2920" s="593" t="s">
        <v>1008</v>
      </c>
      <c r="C2920" s="589"/>
      <c r="D2920" s="578">
        <v>0</v>
      </c>
      <c r="E2920" s="579" t="s">
        <v>8</v>
      </c>
      <c r="F2920" s="569">
        <v>1</v>
      </c>
      <c r="G2920" s="594">
        <f>2.5</f>
        <v>2.5</v>
      </c>
      <c r="H2920" s="594">
        <f>1.4</f>
        <v>1.4</v>
      </c>
      <c r="I2920" s="588"/>
      <c r="J2920" s="597">
        <f t="shared" si="314"/>
        <v>0</v>
      </c>
      <c r="K2920" s="588"/>
    </row>
    <row r="2921" spans="1:11">
      <c r="A2921" s="568"/>
      <c r="B2921" s="593" t="s">
        <v>1009</v>
      </c>
      <c r="C2921" s="589"/>
      <c r="D2921" s="578">
        <v>0</v>
      </c>
      <c r="E2921" s="579" t="s">
        <v>8</v>
      </c>
      <c r="F2921" s="569">
        <v>6</v>
      </c>
      <c r="G2921" s="594">
        <f>1.5</f>
        <v>1.5</v>
      </c>
      <c r="H2921" s="594">
        <f>1.2</f>
        <v>1.2</v>
      </c>
      <c r="I2921" s="588"/>
      <c r="J2921" s="597">
        <f t="shared" si="314"/>
        <v>0</v>
      </c>
      <c r="K2921" s="588"/>
    </row>
    <row r="2922" spans="1:11">
      <c r="A2922" s="568"/>
      <c r="B2922" s="593" t="s">
        <v>1010</v>
      </c>
      <c r="C2922" s="589"/>
      <c r="D2922" s="578">
        <v>0</v>
      </c>
      <c r="E2922" s="579" t="s">
        <v>8</v>
      </c>
      <c r="F2922" s="569">
        <v>1</v>
      </c>
      <c r="G2922" s="594">
        <f>2.9</f>
        <v>2.9</v>
      </c>
      <c r="H2922" s="594">
        <f>2.7</f>
        <v>2.7</v>
      </c>
      <c r="I2922" s="588"/>
      <c r="J2922" s="597">
        <f t="shared" si="314"/>
        <v>0</v>
      </c>
      <c r="K2922" s="588"/>
    </row>
    <row r="2923" spans="1:11">
      <c r="A2923" s="568"/>
      <c r="B2923" s="593" t="s">
        <v>1011</v>
      </c>
      <c r="C2923" s="589"/>
      <c r="D2923" s="578">
        <v>0</v>
      </c>
      <c r="E2923" s="579" t="s">
        <v>8</v>
      </c>
      <c r="F2923" s="569">
        <v>2</v>
      </c>
      <c r="G2923" s="594">
        <f>2.2</f>
        <v>2.2000000000000002</v>
      </c>
      <c r="H2923" s="594">
        <f>1.65</f>
        <v>1.65</v>
      </c>
      <c r="I2923" s="588"/>
      <c r="J2923" s="597">
        <f t="shared" si="314"/>
        <v>0</v>
      </c>
      <c r="K2923" s="588"/>
    </row>
    <row r="2924" spans="1:11">
      <c r="A2924" s="568"/>
      <c r="B2924" s="593" t="s">
        <v>1012</v>
      </c>
      <c r="C2924" s="589"/>
      <c r="D2924" s="578">
        <v>0</v>
      </c>
      <c r="E2924" s="579" t="s">
        <v>8</v>
      </c>
      <c r="F2924" s="569">
        <v>2</v>
      </c>
      <c r="G2924" s="594">
        <f>2.15</f>
        <v>2.15</v>
      </c>
      <c r="H2924" s="594">
        <f>2.15</f>
        <v>2.15</v>
      </c>
      <c r="I2924" s="588"/>
      <c r="J2924" s="597">
        <f t="shared" si="314"/>
        <v>0</v>
      </c>
      <c r="K2924" s="588"/>
    </row>
    <row r="2925" spans="1:11">
      <c r="A2925" s="568"/>
      <c r="B2925" s="593" t="s">
        <v>1013</v>
      </c>
      <c r="C2925" s="589"/>
      <c r="D2925" s="578">
        <v>0</v>
      </c>
      <c r="E2925" s="579" t="s">
        <v>8</v>
      </c>
      <c r="F2925" s="569">
        <v>2</v>
      </c>
      <c r="G2925" s="594">
        <f>1.75</f>
        <v>1.75</v>
      </c>
      <c r="H2925" s="594">
        <f>1.55</f>
        <v>1.55</v>
      </c>
      <c r="I2925" s="588"/>
      <c r="J2925" s="597">
        <f t="shared" si="314"/>
        <v>0</v>
      </c>
      <c r="K2925" s="588"/>
    </row>
    <row r="2926" spans="1:11">
      <c r="A2926" s="568"/>
      <c r="B2926" s="593" t="s">
        <v>1014</v>
      </c>
      <c r="C2926" s="589"/>
      <c r="D2926" s="578">
        <v>0</v>
      </c>
      <c r="E2926" s="579" t="s">
        <v>8</v>
      </c>
      <c r="F2926" s="569">
        <v>2</v>
      </c>
      <c r="G2926" s="594">
        <f>2.35</f>
        <v>2.35</v>
      </c>
      <c r="H2926" s="594">
        <f>2.35</f>
        <v>2.35</v>
      </c>
      <c r="I2926" s="588"/>
      <c r="J2926" s="597">
        <f t="shared" si="314"/>
        <v>0</v>
      </c>
      <c r="K2926" s="588"/>
    </row>
    <row r="2927" spans="1:11">
      <c r="A2927" s="568"/>
      <c r="B2927" s="593" t="s">
        <v>1015</v>
      </c>
      <c r="C2927" s="589"/>
      <c r="D2927" s="578">
        <v>0</v>
      </c>
      <c r="E2927" s="579" t="s">
        <v>8</v>
      </c>
      <c r="F2927" s="569">
        <v>1</v>
      </c>
      <c r="G2927" s="594">
        <f>3</f>
        <v>3</v>
      </c>
      <c r="H2927" s="594">
        <f>2.5</f>
        <v>2.5</v>
      </c>
      <c r="I2927" s="588"/>
      <c r="J2927" s="597">
        <f t="shared" si="314"/>
        <v>0</v>
      </c>
      <c r="K2927" s="588"/>
    </row>
    <row r="2928" spans="1:11">
      <c r="A2928" s="568"/>
      <c r="B2928" s="593" t="s">
        <v>1016</v>
      </c>
      <c r="C2928" s="589"/>
      <c r="D2928" s="578">
        <v>0</v>
      </c>
      <c r="E2928" s="579" t="s">
        <v>8</v>
      </c>
      <c r="F2928" s="569">
        <v>4</v>
      </c>
      <c r="G2928" s="594">
        <f>1</f>
        <v>1</v>
      </c>
      <c r="H2928" s="594">
        <f>1</f>
        <v>1</v>
      </c>
      <c r="I2928" s="588"/>
      <c r="J2928" s="597">
        <f t="shared" si="314"/>
        <v>0</v>
      </c>
      <c r="K2928" s="588"/>
    </row>
    <row r="2929" spans="1:11">
      <c r="A2929" s="568"/>
      <c r="B2929" s="593" t="s">
        <v>656</v>
      </c>
      <c r="C2929" s="589"/>
      <c r="D2929" s="578">
        <v>0</v>
      </c>
      <c r="E2929" s="579" t="s">
        <v>8</v>
      </c>
      <c r="F2929" s="569">
        <v>1</v>
      </c>
      <c r="G2929" s="598">
        <f>5</f>
        <v>5</v>
      </c>
      <c r="H2929" s="598">
        <f>1.75</f>
        <v>1.75</v>
      </c>
      <c r="I2929" s="588"/>
      <c r="J2929" s="597">
        <f t="shared" si="314"/>
        <v>0</v>
      </c>
      <c r="K2929" s="588"/>
    </row>
    <row r="2930" spans="1:11">
      <c r="A2930" s="568"/>
      <c r="B2930" s="593" t="s">
        <v>657</v>
      </c>
      <c r="C2930" s="589"/>
      <c r="D2930" s="578">
        <v>0</v>
      </c>
      <c r="E2930" s="579" t="s">
        <v>8</v>
      </c>
      <c r="F2930" s="569">
        <v>1</v>
      </c>
      <c r="G2930" s="594">
        <f>4.9</f>
        <v>4.9000000000000004</v>
      </c>
      <c r="H2930" s="594">
        <f>2.9</f>
        <v>2.9</v>
      </c>
      <c r="I2930" s="588"/>
      <c r="J2930" s="597">
        <f t="shared" si="314"/>
        <v>0</v>
      </c>
      <c r="K2930" s="588"/>
    </row>
    <row r="2931" spans="1:11">
      <c r="A2931" s="568"/>
      <c r="B2931" s="593" t="s">
        <v>658</v>
      </c>
      <c r="C2931" s="589"/>
      <c r="D2931" s="578">
        <v>0</v>
      </c>
      <c r="E2931" s="579" t="s">
        <v>8</v>
      </c>
      <c r="F2931" s="569">
        <v>1</v>
      </c>
      <c r="G2931" s="594">
        <f>7.65</f>
        <v>7.65</v>
      </c>
      <c r="H2931" s="594">
        <f>3.3</f>
        <v>3.3</v>
      </c>
      <c r="I2931" s="588"/>
      <c r="J2931" s="597">
        <f t="shared" si="314"/>
        <v>0</v>
      </c>
      <c r="K2931" s="588"/>
    </row>
    <row r="2932" spans="1:11">
      <c r="A2932" s="568"/>
      <c r="B2932" s="593" t="s">
        <v>1017</v>
      </c>
      <c r="C2932" s="589"/>
      <c r="D2932" s="578">
        <v>0</v>
      </c>
      <c r="E2932" s="579" t="s">
        <v>8</v>
      </c>
      <c r="F2932" s="569">
        <v>1</v>
      </c>
      <c r="G2932" s="594">
        <f>5.5</f>
        <v>5.5</v>
      </c>
      <c r="H2932" s="594">
        <f>2.8</f>
        <v>2.8</v>
      </c>
      <c r="I2932" s="588"/>
      <c r="J2932" s="597">
        <f t="shared" si="314"/>
        <v>0</v>
      </c>
      <c r="K2932" s="588"/>
    </row>
    <row r="2933" spans="1:11">
      <c r="A2933" s="568"/>
      <c r="B2933" s="593" t="s">
        <v>1018</v>
      </c>
      <c r="C2933" s="589"/>
      <c r="D2933" s="578">
        <v>0</v>
      </c>
      <c r="E2933" s="579" t="s">
        <v>8</v>
      </c>
      <c r="F2933" s="569">
        <v>1</v>
      </c>
      <c r="G2933" s="594">
        <f>5.85</f>
        <v>5.85</v>
      </c>
      <c r="H2933" s="594">
        <f>2.45</f>
        <v>2.4500000000000002</v>
      </c>
      <c r="I2933" s="588"/>
      <c r="J2933" s="597">
        <f t="shared" si="314"/>
        <v>0</v>
      </c>
      <c r="K2933" s="588"/>
    </row>
    <row r="2934" spans="1:11">
      <c r="A2934" s="568"/>
      <c r="B2934" s="581" t="s">
        <v>1019</v>
      </c>
      <c r="C2934" s="581"/>
      <c r="D2934" s="578">
        <v>0</v>
      </c>
      <c r="E2934" s="579" t="s">
        <v>8</v>
      </c>
      <c r="F2934" s="569">
        <v>1</v>
      </c>
      <c r="G2934" s="594">
        <f>5.8</f>
        <v>5.8</v>
      </c>
      <c r="H2934" s="594">
        <f>5.7</f>
        <v>5.7</v>
      </c>
      <c r="I2934" s="588"/>
      <c r="J2934" s="597">
        <f t="shared" si="314"/>
        <v>0</v>
      </c>
      <c r="K2934" s="588"/>
    </row>
    <row r="2935" spans="1:11">
      <c r="A2935" s="568"/>
      <c r="B2935" s="581" t="s">
        <v>1020</v>
      </c>
      <c r="C2935" s="581"/>
      <c r="D2935" s="578">
        <v>0</v>
      </c>
      <c r="E2935" s="579" t="s">
        <v>8</v>
      </c>
      <c r="F2935" s="569">
        <v>1</v>
      </c>
      <c r="G2935" s="717">
        <f>30398772/1000000</f>
        <v>30.398772000000001</v>
      </c>
      <c r="H2935" s="718"/>
      <c r="I2935" s="588"/>
      <c r="J2935" s="597">
        <f t="shared" si="314"/>
        <v>0</v>
      </c>
      <c r="K2935" s="588"/>
    </row>
    <row r="2936" spans="1:11">
      <c r="A2936" s="568"/>
      <c r="B2936" s="581" t="s">
        <v>1885</v>
      </c>
      <c r="C2936" s="581"/>
      <c r="D2936" s="578">
        <v>1</v>
      </c>
      <c r="E2936" s="579" t="s">
        <v>8</v>
      </c>
      <c r="F2936" s="569">
        <v>1</v>
      </c>
      <c r="G2936" s="669">
        <v>2.5</v>
      </c>
      <c r="H2936" s="669">
        <v>1.9</v>
      </c>
      <c r="I2936" s="588"/>
      <c r="J2936" s="597">
        <f t="shared" si="314"/>
        <v>4.75</v>
      </c>
      <c r="K2936" s="588"/>
    </row>
    <row r="2937" spans="1:11">
      <c r="A2937" s="568"/>
      <c r="B2937" s="593" t="s">
        <v>792</v>
      </c>
      <c r="C2937" s="589"/>
      <c r="D2937" s="578">
        <v>1</v>
      </c>
      <c r="E2937" s="579" t="s">
        <v>8</v>
      </c>
      <c r="F2937" s="569">
        <v>1</v>
      </c>
      <c r="G2937" s="598">
        <f>7.7+0.6+0.6</f>
        <v>8.9</v>
      </c>
      <c r="H2937" s="612">
        <f>3.4+0.6+0.6</f>
        <v>4.5999999999999996</v>
      </c>
      <c r="I2937" s="596"/>
      <c r="J2937" s="597">
        <f t="shared" si="314"/>
        <v>40.94</v>
      </c>
      <c r="K2937" s="581"/>
    </row>
    <row r="2938" spans="1:11">
      <c r="A2938" s="568"/>
      <c r="B2938" s="593"/>
      <c r="C2938" s="577"/>
      <c r="G2938" s="612"/>
      <c r="H2938" s="598"/>
      <c r="I2938" s="598"/>
      <c r="J2938" s="614">
        <f>SUM(J2911:J2937)</f>
        <v>45.69</v>
      </c>
      <c r="K2938" s="581"/>
    </row>
    <row r="2939" spans="1:11">
      <c r="A2939" s="568"/>
      <c r="B2939" s="622" t="s">
        <v>28</v>
      </c>
      <c r="C2939" s="577"/>
      <c r="G2939" s="612"/>
      <c r="H2939" s="598"/>
      <c r="I2939" s="598"/>
      <c r="J2939" s="605">
        <f>ROUNDUP(J2938,0)</f>
        <v>46</v>
      </c>
      <c r="K2939" s="576" t="s">
        <v>9</v>
      </c>
    </row>
    <row r="2940" spans="1:11">
      <c r="A2940" s="568"/>
      <c r="B2940" s="593"/>
      <c r="C2940" s="577"/>
      <c r="G2940" s="612"/>
      <c r="H2940" s="598"/>
      <c r="I2940" s="598"/>
      <c r="J2940" s="598"/>
      <c r="K2940" s="581"/>
    </row>
    <row r="2941" spans="1:11" ht="67.5" customHeight="1">
      <c r="A2941" s="568">
        <f>A2905+1</f>
        <v>57</v>
      </c>
      <c r="B2941" s="723" t="str">
        <f>'BOQ-C&amp;I'!C197</f>
        <v>Supply and applying water proofing treatment on Retaining walls external surface at Lift wall, UG Sump, Water tank, Raft sides etc. using cement admixed with  water proofing compound in the following order.</v>
      </c>
      <c r="C2941" s="723"/>
      <c r="D2941" s="723"/>
      <c r="E2941" s="723"/>
      <c r="F2941" s="723"/>
      <c r="G2941" s="723"/>
      <c r="H2941" s="723"/>
      <c r="I2941" s="723"/>
      <c r="J2941" s="723"/>
      <c r="K2941" s="723"/>
    </row>
    <row r="2942" spans="1:11" ht="37.5" customHeight="1">
      <c r="A2942" s="568"/>
      <c r="B2942" s="723" t="str">
        <f>'BOQ-C&amp;I'!C198</f>
        <v>i) Making ' V ' grooves at the construction joints of size  20 x 20 mm and filling the "V" Groove with CICO No. 3 Quick Setting Waterproofing Compound admixed with cement</v>
      </c>
      <c r="C2942" s="723"/>
      <c r="D2942" s="723"/>
      <c r="E2942" s="723"/>
      <c r="F2942" s="723"/>
      <c r="G2942" s="723"/>
      <c r="H2942" s="723"/>
      <c r="I2942" s="723"/>
      <c r="J2942" s="723"/>
      <c r="K2942" s="723"/>
    </row>
    <row r="2943" spans="1:11" ht="37.5" customHeight="1">
      <c r="A2943" s="568"/>
      <c r="B2943" s="723" t="str">
        <f>'BOQ-C&amp;I'!C199</f>
        <v>ii) Supply and Fixing of 50 long 18 mm dia GI nozzles in the hole of about half the depth of member size along  construction joints, and honey comb areas at a spacing not more than 1m c/c.</v>
      </c>
      <c r="C2943" s="723"/>
      <c r="D2943" s="723"/>
      <c r="E2943" s="723"/>
      <c r="F2943" s="723"/>
      <c r="G2943" s="723"/>
      <c r="H2943" s="723"/>
      <c r="I2943" s="723"/>
      <c r="J2943" s="723"/>
      <c r="K2943" s="723"/>
    </row>
    <row r="2944" spans="1:11" ht="51" customHeight="1">
      <c r="A2944" s="568"/>
      <c r="B2944" s="723" t="str">
        <f>'BOQ-C&amp;I'!C200</f>
        <v>iii) Supply and Applying injection grouting through the nozzles grouting pumps with a minimum pressure of 2 kg/sqcm with cement slurry admixed with CICO Non shrink Polymeric Water Proof Grouting Compound or approved equivalent at the rate of 2% by weight of cement.</v>
      </c>
      <c r="C2944" s="723"/>
      <c r="D2944" s="723"/>
      <c r="E2944" s="723"/>
      <c r="F2944" s="723"/>
      <c r="G2944" s="723"/>
      <c r="H2944" s="723"/>
      <c r="I2944" s="723"/>
      <c r="J2944" s="723"/>
      <c r="K2944" s="723"/>
    </row>
    <row r="2945" spans="1:11" ht="37.5" customHeight="1">
      <c r="A2945" s="568"/>
      <c r="B2945" s="723" t="str">
        <f>'BOQ-C&amp;I'!C201</f>
        <v>iv) Sealing &amp; cutting of nozzles and levelling the surface using integral Waterproofing compound CICO NO.3 or approved equivalent in the ratio 1:1by weight.</v>
      </c>
      <c r="C2945" s="723"/>
      <c r="D2945" s="723"/>
      <c r="E2945" s="723"/>
      <c r="F2945" s="723"/>
      <c r="G2945" s="723"/>
      <c r="H2945" s="723"/>
      <c r="I2945" s="723"/>
      <c r="J2945" s="723"/>
      <c r="K2945" s="723"/>
    </row>
    <row r="2946" spans="1:11" ht="53.25" customHeight="1">
      <c r="A2946" s="568"/>
      <c r="B2946" s="723" t="str">
        <f>'BOQ-C&amp;I'!C202</f>
        <v>v)Supply and applying one coat of TAPECRETE Acrylic Polymer Modified Cementitious Slurry Coat over  well prepared surface as a Primer and applying CICO CORCHEM 206 - I Polyurethane Based Elastomeric Coating to the thickness of 1.5 mm in 2 coats over TAPECRETE slurry coat applied surface.</v>
      </c>
      <c r="C2946" s="723"/>
      <c r="D2946" s="723"/>
      <c r="E2946" s="723"/>
      <c r="F2946" s="723"/>
      <c r="G2946" s="723"/>
      <c r="H2946" s="723"/>
      <c r="I2946" s="723"/>
      <c r="J2946" s="723"/>
      <c r="K2946" s="723"/>
    </row>
    <row r="2947" spans="1:11" ht="102" customHeight="1">
      <c r="A2947" s="568"/>
      <c r="B2947" s="723" t="str">
        <f>'BOQ-C&amp;I'!C203</f>
        <v>vi) Lay protective plaster layer with 12mm thick Cement Mortar 1:4 (1 cement: 4 P.sand)  admixed with Normal setting integral Waterproofing compound CICO NO.1 or approved equivalent conforming to IS 2645 at the rate of  2% by weight of cement over the third coat of brush topping. Plaster shall be cured by  spraying of water for the next 7days. The entire water proofing system shall be protected with a 25 mm thick extruded polystyrene with necessary low VOC adhesive.</v>
      </c>
      <c r="C2947" s="723"/>
      <c r="D2947" s="723"/>
      <c r="E2947" s="723"/>
      <c r="F2947" s="723"/>
      <c r="G2947" s="723"/>
      <c r="H2947" s="723"/>
      <c r="I2947" s="723"/>
      <c r="J2947" s="723"/>
      <c r="K2947" s="723"/>
    </row>
    <row r="2948" spans="1:11">
      <c r="A2948" s="568"/>
      <c r="B2948" s="584" t="s">
        <v>55</v>
      </c>
      <c r="C2948" s="577"/>
      <c r="G2948" s="612"/>
      <c r="H2948" s="598"/>
      <c r="I2948" s="598"/>
      <c r="J2948" s="598"/>
      <c r="K2948" s="581"/>
    </row>
    <row r="2949" spans="1:11">
      <c r="A2949" s="568"/>
      <c r="B2949" s="593" t="s">
        <v>619</v>
      </c>
      <c r="C2949" s="589"/>
      <c r="D2949" s="578">
        <v>0</v>
      </c>
      <c r="E2949" s="579" t="s">
        <v>8</v>
      </c>
      <c r="F2949" s="569">
        <v>1</v>
      </c>
      <c r="G2949" s="590">
        <v>7.3</v>
      </c>
      <c r="H2949" s="591"/>
      <c r="I2949" s="591">
        <v>1.5</v>
      </c>
      <c r="J2949" s="591">
        <f t="shared" ref="J2949:J2950" si="315">PRODUCT(D2949:I2949)</f>
        <v>0</v>
      </c>
      <c r="K2949" s="581"/>
    </row>
    <row r="2950" spans="1:11">
      <c r="A2950" s="568"/>
      <c r="B2950" s="593" t="s">
        <v>621</v>
      </c>
      <c r="C2950" s="589"/>
      <c r="D2950" s="578">
        <v>0</v>
      </c>
      <c r="E2950" s="579" t="s">
        <v>8</v>
      </c>
      <c r="F2950" s="569">
        <v>1</v>
      </c>
      <c r="G2950" s="590">
        <v>8.3000000000000007</v>
      </c>
      <c r="H2950" s="591"/>
      <c r="I2950" s="591">
        <v>1.5</v>
      </c>
      <c r="J2950" s="591">
        <f t="shared" si="315"/>
        <v>0</v>
      </c>
      <c r="K2950" s="581"/>
    </row>
    <row r="2951" spans="1:11">
      <c r="A2951" s="568"/>
      <c r="B2951" s="593" t="s">
        <v>56</v>
      </c>
      <c r="C2951" s="577"/>
      <c r="D2951" s="578">
        <v>0</v>
      </c>
      <c r="E2951" s="579" t="s">
        <v>8</v>
      </c>
      <c r="F2951" s="569">
        <v>1</v>
      </c>
      <c r="G2951" s="612">
        <v>10.38</v>
      </c>
      <c r="H2951" s="598"/>
      <c r="I2951" s="598">
        <v>2</v>
      </c>
      <c r="J2951" s="598">
        <f t="shared" ref="J2951" si="316">ROUNDUP(PRODUCT(D2951:I2951),2)</f>
        <v>0</v>
      </c>
      <c r="K2951" s="581"/>
    </row>
    <row r="2952" spans="1:11">
      <c r="A2952" s="568"/>
      <c r="B2952" s="593"/>
      <c r="C2952" s="577"/>
      <c r="G2952" s="612"/>
      <c r="H2952" s="598"/>
      <c r="I2952" s="598"/>
      <c r="J2952" s="598"/>
      <c r="K2952" s="581"/>
    </row>
    <row r="2953" spans="1:11">
      <c r="A2953" s="568"/>
      <c r="B2953" s="593"/>
      <c r="C2953" s="577"/>
      <c r="G2953" s="612"/>
      <c r="H2953" s="598"/>
      <c r="I2953" s="598"/>
      <c r="J2953" s="598"/>
      <c r="K2953" s="581"/>
    </row>
    <row r="2954" spans="1:11">
      <c r="A2954" s="568"/>
      <c r="B2954" s="593" t="s">
        <v>648</v>
      </c>
      <c r="C2954" s="589"/>
      <c r="G2954" s="590"/>
      <c r="H2954" s="591"/>
      <c r="I2954" s="591"/>
      <c r="J2954" s="591"/>
      <c r="K2954" s="581"/>
    </row>
    <row r="2955" spans="1:11">
      <c r="A2955" s="568"/>
      <c r="B2955" s="593" t="s">
        <v>649</v>
      </c>
      <c r="C2955" s="589"/>
      <c r="D2955" s="578">
        <v>0</v>
      </c>
      <c r="E2955" s="579" t="s">
        <v>8</v>
      </c>
      <c r="F2955" s="569">
        <v>5</v>
      </c>
      <c r="G2955" s="594">
        <f>(3.3+2.3)*2</f>
        <v>11.2</v>
      </c>
      <c r="H2955" s="595"/>
      <c r="I2955" s="596">
        <v>0.75</v>
      </c>
      <c r="J2955" s="597">
        <f>PRODUCT(D2955:I2955)</f>
        <v>0</v>
      </c>
      <c r="K2955" s="581"/>
    </row>
    <row r="2956" spans="1:11">
      <c r="A2956" s="568"/>
      <c r="B2956" s="593" t="s">
        <v>650</v>
      </c>
      <c r="C2956" s="589"/>
      <c r="D2956" s="578">
        <v>0</v>
      </c>
      <c r="E2956" s="579" t="s">
        <v>8</v>
      </c>
      <c r="F2956" s="569">
        <v>2</v>
      </c>
      <c r="G2956" s="594">
        <f>(2.55+2.55)*2</f>
        <v>10.199999999999999</v>
      </c>
      <c r="H2956" s="594"/>
      <c r="I2956" s="596">
        <v>0.7</v>
      </c>
      <c r="J2956" s="597">
        <f t="shared" ref="J2956:J2980" si="317">PRODUCT(D2956:I2956)</f>
        <v>0</v>
      </c>
      <c r="K2956" s="581"/>
    </row>
    <row r="2957" spans="1:11">
      <c r="A2957" s="568"/>
      <c r="B2957" s="593" t="s">
        <v>651</v>
      </c>
      <c r="C2957" s="589"/>
      <c r="D2957" s="578">
        <v>0</v>
      </c>
      <c r="E2957" s="579" t="s">
        <v>8</v>
      </c>
      <c r="F2957" s="569">
        <v>7</v>
      </c>
      <c r="G2957" s="598">
        <f>(2.8+2.1)*2</f>
        <v>9.8000000000000007</v>
      </c>
      <c r="H2957" s="598"/>
      <c r="I2957" s="596">
        <v>0.7</v>
      </c>
      <c r="J2957" s="597">
        <f t="shared" si="317"/>
        <v>0</v>
      </c>
      <c r="K2957" s="581"/>
    </row>
    <row r="2958" spans="1:11">
      <c r="A2958" s="568"/>
      <c r="B2958" s="593" t="s">
        <v>652</v>
      </c>
      <c r="C2958" s="589"/>
      <c r="D2958" s="578">
        <v>0</v>
      </c>
      <c r="E2958" s="579" t="s">
        <v>8</v>
      </c>
      <c r="F2958" s="569">
        <v>1</v>
      </c>
      <c r="G2958" s="594">
        <f>(3.2+2.5)*2</f>
        <v>11.4</v>
      </c>
      <c r="H2958" s="594"/>
      <c r="I2958" s="596">
        <v>0.6</v>
      </c>
      <c r="J2958" s="597">
        <f t="shared" si="317"/>
        <v>0</v>
      </c>
      <c r="K2958" s="581"/>
    </row>
    <row r="2959" spans="1:11">
      <c r="A2959" s="568"/>
      <c r="B2959" s="593" t="s">
        <v>653</v>
      </c>
      <c r="C2959" s="589"/>
      <c r="D2959" s="578">
        <v>0</v>
      </c>
      <c r="E2959" s="579" t="s">
        <v>8</v>
      </c>
      <c r="F2959" s="569">
        <v>1</v>
      </c>
      <c r="G2959" s="594">
        <f>(2.5+2.5)*2</f>
        <v>10</v>
      </c>
      <c r="H2959" s="594"/>
      <c r="I2959" s="596">
        <v>0.7</v>
      </c>
      <c r="J2959" s="597">
        <f t="shared" si="317"/>
        <v>0</v>
      </c>
      <c r="K2959" s="581"/>
    </row>
    <row r="2960" spans="1:11">
      <c r="A2960" s="568"/>
      <c r="B2960" s="593" t="s">
        <v>654</v>
      </c>
      <c r="C2960" s="589"/>
      <c r="D2960" s="578">
        <v>0</v>
      </c>
      <c r="E2960" s="579" t="s">
        <v>8</v>
      </c>
      <c r="F2960" s="569">
        <v>2</v>
      </c>
      <c r="G2960" s="594">
        <f>(1.85+1.45)*2</f>
        <v>6.6</v>
      </c>
      <c r="H2960" s="594"/>
      <c r="I2960" s="596">
        <v>0.5</v>
      </c>
      <c r="J2960" s="597">
        <f t="shared" si="317"/>
        <v>0</v>
      </c>
      <c r="K2960" s="581"/>
    </row>
    <row r="2961" spans="1:11">
      <c r="A2961" s="568"/>
      <c r="B2961" s="593" t="s">
        <v>655</v>
      </c>
      <c r="C2961" s="589"/>
      <c r="D2961" s="578">
        <v>0</v>
      </c>
      <c r="E2961" s="579" t="s">
        <v>8</v>
      </c>
      <c r="F2961" s="569">
        <v>1</v>
      </c>
      <c r="G2961" s="594">
        <f>(3.2+2.6)*2</f>
        <v>11.600000000000001</v>
      </c>
      <c r="H2961" s="594"/>
      <c r="I2961" s="596">
        <v>0.8</v>
      </c>
      <c r="J2961" s="597">
        <f t="shared" si="317"/>
        <v>0</v>
      </c>
      <c r="K2961" s="581"/>
    </row>
    <row r="2962" spans="1:11">
      <c r="A2962" s="568"/>
      <c r="B2962" s="593" t="s">
        <v>1006</v>
      </c>
      <c r="C2962" s="589"/>
      <c r="D2962" s="578">
        <v>0</v>
      </c>
      <c r="E2962" s="579" t="s">
        <v>8</v>
      </c>
      <c r="F2962" s="569">
        <v>2</v>
      </c>
      <c r="G2962" s="594">
        <f>(2.5+1.9)*2</f>
        <v>8.8000000000000007</v>
      </c>
      <c r="H2962" s="594"/>
      <c r="I2962" s="596">
        <v>0.6</v>
      </c>
      <c r="J2962" s="597">
        <f t="shared" si="317"/>
        <v>0</v>
      </c>
      <c r="K2962" s="581"/>
    </row>
    <row r="2963" spans="1:11">
      <c r="A2963" s="568"/>
      <c r="B2963" s="593" t="s">
        <v>1007</v>
      </c>
      <c r="C2963" s="589"/>
      <c r="D2963" s="578">
        <v>0</v>
      </c>
      <c r="E2963" s="579" t="s">
        <v>8</v>
      </c>
      <c r="F2963" s="569">
        <v>1</v>
      </c>
      <c r="G2963" s="594">
        <f>(3.65+2.65)*2</f>
        <v>12.6</v>
      </c>
      <c r="H2963" s="594"/>
      <c r="I2963" s="596">
        <v>0.8</v>
      </c>
      <c r="J2963" s="597">
        <f t="shared" si="317"/>
        <v>0</v>
      </c>
      <c r="K2963" s="581"/>
    </row>
    <row r="2964" spans="1:11">
      <c r="A2964" s="568"/>
      <c r="B2964" s="593" t="s">
        <v>1008</v>
      </c>
      <c r="C2964" s="589"/>
      <c r="D2964" s="578">
        <v>0</v>
      </c>
      <c r="E2964" s="579" t="s">
        <v>8</v>
      </c>
      <c r="F2964" s="569">
        <v>1</v>
      </c>
      <c r="G2964" s="594">
        <f>(2.5+1.4)*2</f>
        <v>7.8</v>
      </c>
      <c r="H2964" s="594"/>
      <c r="I2964" s="596">
        <v>0.6</v>
      </c>
      <c r="J2964" s="597">
        <f t="shared" si="317"/>
        <v>0</v>
      </c>
      <c r="K2964" s="581"/>
    </row>
    <row r="2965" spans="1:11">
      <c r="A2965" s="568"/>
      <c r="B2965" s="593" t="s">
        <v>1009</v>
      </c>
      <c r="C2965" s="589"/>
      <c r="D2965" s="578">
        <v>0</v>
      </c>
      <c r="E2965" s="579" t="s">
        <v>8</v>
      </c>
      <c r="F2965" s="569">
        <v>6</v>
      </c>
      <c r="G2965" s="594">
        <f>(1.5+1.2)*2</f>
        <v>5.4</v>
      </c>
      <c r="H2965" s="594"/>
      <c r="I2965" s="596">
        <v>0.375</v>
      </c>
      <c r="J2965" s="597">
        <f t="shared" si="317"/>
        <v>0</v>
      </c>
      <c r="K2965" s="581"/>
    </row>
    <row r="2966" spans="1:11">
      <c r="A2966" s="568"/>
      <c r="B2966" s="593" t="s">
        <v>1010</v>
      </c>
      <c r="C2966" s="589"/>
      <c r="D2966" s="578">
        <v>0</v>
      </c>
      <c r="E2966" s="579" t="s">
        <v>8</v>
      </c>
      <c r="F2966" s="569">
        <v>1</v>
      </c>
      <c r="G2966" s="594">
        <f>(2.9+2.7)*2</f>
        <v>11.2</v>
      </c>
      <c r="H2966" s="594"/>
      <c r="I2966" s="596">
        <v>0.75</v>
      </c>
      <c r="J2966" s="597">
        <f t="shared" si="317"/>
        <v>0</v>
      </c>
      <c r="K2966" s="581"/>
    </row>
    <row r="2967" spans="1:11">
      <c r="A2967" s="568"/>
      <c r="B2967" s="593" t="s">
        <v>1011</v>
      </c>
      <c r="C2967" s="589"/>
      <c r="D2967" s="578">
        <v>0</v>
      </c>
      <c r="E2967" s="579" t="s">
        <v>8</v>
      </c>
      <c r="F2967" s="569">
        <v>2</v>
      </c>
      <c r="G2967" s="594">
        <f>(2.2+1.65)*2</f>
        <v>7.7</v>
      </c>
      <c r="H2967" s="594"/>
      <c r="I2967" s="596">
        <v>0.55000000000000004</v>
      </c>
      <c r="J2967" s="597">
        <f t="shared" si="317"/>
        <v>0</v>
      </c>
      <c r="K2967" s="581"/>
    </row>
    <row r="2968" spans="1:11">
      <c r="A2968" s="568"/>
      <c r="B2968" s="593" t="s">
        <v>1012</v>
      </c>
      <c r="C2968" s="589"/>
      <c r="D2968" s="578">
        <v>0</v>
      </c>
      <c r="E2968" s="579" t="s">
        <v>8</v>
      </c>
      <c r="F2968" s="569">
        <v>2</v>
      </c>
      <c r="G2968" s="594">
        <f>(2.15+2.15)*2</f>
        <v>8.6</v>
      </c>
      <c r="H2968" s="594"/>
      <c r="I2968" s="596">
        <v>0.45</v>
      </c>
      <c r="J2968" s="597">
        <f t="shared" si="317"/>
        <v>0</v>
      </c>
      <c r="K2968" s="581"/>
    </row>
    <row r="2969" spans="1:11">
      <c r="A2969" s="568"/>
      <c r="B2969" s="593" t="s">
        <v>1013</v>
      </c>
      <c r="C2969" s="589"/>
      <c r="D2969" s="578">
        <v>0</v>
      </c>
      <c r="E2969" s="579" t="s">
        <v>8</v>
      </c>
      <c r="F2969" s="569">
        <v>2</v>
      </c>
      <c r="G2969" s="594">
        <f>(1.75+1.55)*2</f>
        <v>6.6</v>
      </c>
      <c r="H2969" s="594"/>
      <c r="I2969" s="596">
        <v>0.5</v>
      </c>
      <c r="J2969" s="597">
        <f t="shared" si="317"/>
        <v>0</v>
      </c>
      <c r="K2969" s="581"/>
    </row>
    <row r="2970" spans="1:11">
      <c r="A2970" s="568"/>
      <c r="B2970" s="593" t="s">
        <v>1014</v>
      </c>
      <c r="C2970" s="589"/>
      <c r="D2970" s="578">
        <v>0</v>
      </c>
      <c r="E2970" s="579" t="s">
        <v>8</v>
      </c>
      <c r="F2970" s="569">
        <v>2</v>
      </c>
      <c r="G2970" s="594">
        <f>(2.35+2.35)*2</f>
        <v>9.4</v>
      </c>
      <c r="H2970" s="594"/>
      <c r="I2970" s="596">
        <v>0.7</v>
      </c>
      <c r="J2970" s="597">
        <f t="shared" si="317"/>
        <v>0</v>
      </c>
      <c r="K2970" s="581"/>
    </row>
    <row r="2971" spans="1:11">
      <c r="A2971" s="568"/>
      <c r="B2971" s="593" t="s">
        <v>1015</v>
      </c>
      <c r="C2971" s="589"/>
      <c r="D2971" s="578">
        <v>0</v>
      </c>
      <c r="E2971" s="579" t="s">
        <v>8</v>
      </c>
      <c r="F2971" s="569">
        <v>1</v>
      </c>
      <c r="G2971" s="594">
        <f>(3+2.5)*2</f>
        <v>11</v>
      </c>
      <c r="H2971" s="594"/>
      <c r="I2971" s="596">
        <v>0.75</v>
      </c>
      <c r="J2971" s="597">
        <f t="shared" si="317"/>
        <v>0</v>
      </c>
      <c r="K2971" s="581"/>
    </row>
    <row r="2972" spans="1:11">
      <c r="A2972" s="568"/>
      <c r="B2972" s="593" t="s">
        <v>1016</v>
      </c>
      <c r="C2972" s="589"/>
      <c r="D2972" s="578">
        <v>0</v>
      </c>
      <c r="E2972" s="579" t="s">
        <v>8</v>
      </c>
      <c r="F2972" s="569">
        <v>4</v>
      </c>
      <c r="G2972" s="594">
        <f>(1+1)*2</f>
        <v>4</v>
      </c>
      <c r="H2972" s="594"/>
      <c r="I2972" s="596">
        <v>0.3</v>
      </c>
      <c r="J2972" s="597">
        <f t="shared" si="317"/>
        <v>0</v>
      </c>
      <c r="K2972" s="581"/>
    </row>
    <row r="2973" spans="1:11">
      <c r="A2973" s="568"/>
      <c r="B2973" s="593" t="s">
        <v>656</v>
      </c>
      <c r="C2973" s="589"/>
      <c r="D2973" s="578">
        <v>0</v>
      </c>
      <c r="E2973" s="579" t="s">
        <v>8</v>
      </c>
      <c r="F2973" s="569">
        <v>1</v>
      </c>
      <c r="G2973" s="598">
        <f>(5+1.75)*2</f>
        <v>13.5</v>
      </c>
      <c r="H2973" s="598"/>
      <c r="I2973" s="596">
        <v>0.9</v>
      </c>
      <c r="J2973" s="597">
        <f t="shared" si="317"/>
        <v>0</v>
      </c>
      <c r="K2973" s="581"/>
    </row>
    <row r="2974" spans="1:11">
      <c r="A2974" s="568"/>
      <c r="B2974" s="593" t="s">
        <v>657</v>
      </c>
      <c r="C2974" s="589"/>
      <c r="D2974" s="578">
        <v>0</v>
      </c>
      <c r="E2974" s="579" t="s">
        <v>8</v>
      </c>
      <c r="F2974" s="569">
        <v>1</v>
      </c>
      <c r="G2974" s="594">
        <f>(4.9+2.9)*2</f>
        <v>15.600000000000001</v>
      </c>
      <c r="H2974" s="594"/>
      <c r="I2974" s="596">
        <v>0.85</v>
      </c>
      <c r="J2974" s="597">
        <f t="shared" si="317"/>
        <v>0</v>
      </c>
      <c r="K2974" s="581"/>
    </row>
    <row r="2975" spans="1:11">
      <c r="A2975" s="568"/>
      <c r="B2975" s="593" t="s">
        <v>658</v>
      </c>
      <c r="C2975" s="589"/>
      <c r="D2975" s="578">
        <v>0</v>
      </c>
      <c r="E2975" s="579" t="s">
        <v>8</v>
      </c>
      <c r="F2975" s="569">
        <v>1</v>
      </c>
      <c r="G2975" s="594">
        <f>(7.65+3.3)*2</f>
        <v>21.9</v>
      </c>
      <c r="H2975" s="594"/>
      <c r="I2975" s="596">
        <v>0.85</v>
      </c>
      <c r="J2975" s="597">
        <f t="shared" si="317"/>
        <v>0</v>
      </c>
      <c r="K2975" s="581"/>
    </row>
    <row r="2976" spans="1:11">
      <c r="A2976" s="568"/>
      <c r="B2976" s="593" t="s">
        <v>1017</v>
      </c>
      <c r="C2976" s="589"/>
      <c r="D2976" s="578">
        <v>0</v>
      </c>
      <c r="E2976" s="579" t="s">
        <v>8</v>
      </c>
      <c r="F2976" s="569">
        <v>1</v>
      </c>
      <c r="G2976" s="594">
        <f>(5.5+2.8)*2</f>
        <v>16.600000000000001</v>
      </c>
      <c r="H2976" s="594"/>
      <c r="I2976" s="596">
        <v>0.8</v>
      </c>
      <c r="J2976" s="597">
        <f t="shared" si="317"/>
        <v>0</v>
      </c>
      <c r="K2976" s="581"/>
    </row>
    <row r="2977" spans="1:11">
      <c r="A2977" s="568"/>
      <c r="B2977" s="593" t="s">
        <v>1018</v>
      </c>
      <c r="C2977" s="589"/>
      <c r="D2977" s="578">
        <v>0</v>
      </c>
      <c r="E2977" s="579" t="s">
        <v>8</v>
      </c>
      <c r="F2977" s="569">
        <v>1</v>
      </c>
      <c r="G2977" s="594">
        <f>(5.85+2.45)*2</f>
        <v>16.600000000000001</v>
      </c>
      <c r="H2977" s="594"/>
      <c r="I2977" s="596">
        <v>0.9</v>
      </c>
      <c r="J2977" s="597">
        <f t="shared" si="317"/>
        <v>0</v>
      </c>
      <c r="K2977" s="581"/>
    </row>
    <row r="2978" spans="1:11">
      <c r="A2978" s="568"/>
      <c r="B2978" s="581" t="s">
        <v>1019</v>
      </c>
      <c r="C2978" s="581"/>
      <c r="D2978" s="578">
        <v>0</v>
      </c>
      <c r="E2978" s="579" t="s">
        <v>8</v>
      </c>
      <c r="F2978" s="569">
        <v>1</v>
      </c>
      <c r="G2978" s="594">
        <f>(5.8+5.7)*2</f>
        <v>23</v>
      </c>
      <c r="H2978" s="594"/>
      <c r="I2978" s="596">
        <v>0.75</v>
      </c>
      <c r="J2978" s="597">
        <f t="shared" si="317"/>
        <v>0</v>
      </c>
      <c r="K2978" s="581"/>
    </row>
    <row r="2979" spans="1:11">
      <c r="A2979" s="568"/>
      <c r="B2979" s="581" t="s">
        <v>1020</v>
      </c>
      <c r="C2979" s="581"/>
      <c r="D2979" s="578">
        <v>0</v>
      </c>
      <c r="E2979" s="579" t="s">
        <v>8</v>
      </c>
      <c r="F2979" s="569">
        <v>1</v>
      </c>
      <c r="G2979" s="717">
        <v>22.5</v>
      </c>
      <c r="H2979" s="718"/>
      <c r="I2979" s="596">
        <v>0.75</v>
      </c>
      <c r="J2979" s="597">
        <f t="shared" si="317"/>
        <v>0</v>
      </c>
      <c r="K2979" s="581"/>
    </row>
    <row r="2980" spans="1:11">
      <c r="A2980" s="568"/>
      <c r="B2980" s="581" t="s">
        <v>1021</v>
      </c>
      <c r="C2980" s="581"/>
      <c r="D2980" s="578">
        <v>0</v>
      </c>
      <c r="E2980" s="579" t="s">
        <v>8</v>
      </c>
      <c r="F2980" s="569">
        <v>1</v>
      </c>
      <c r="G2980" s="581">
        <f>(5.025+4.125)*2</f>
        <v>18.3</v>
      </c>
      <c r="H2980" s="581"/>
      <c r="I2980" s="596">
        <v>0.75</v>
      </c>
      <c r="J2980" s="597">
        <f t="shared" si="317"/>
        <v>0</v>
      </c>
      <c r="K2980" s="581"/>
    </row>
    <row r="2981" spans="1:11">
      <c r="A2981" s="568"/>
      <c r="B2981" s="593" t="s">
        <v>792</v>
      </c>
      <c r="C2981" s="589"/>
      <c r="D2981" s="578">
        <v>0</v>
      </c>
      <c r="E2981" s="579" t="s">
        <v>8</v>
      </c>
      <c r="F2981" s="569">
        <v>2</v>
      </c>
      <c r="G2981" s="598">
        <v>7.7</v>
      </c>
      <c r="H2981" s="612"/>
      <c r="I2981" s="596">
        <f>0.2+1.8+0.65</f>
        <v>2.65</v>
      </c>
      <c r="J2981" s="597">
        <f>PRODUCT(D2981:I2981)</f>
        <v>0</v>
      </c>
      <c r="K2981" s="581"/>
    </row>
    <row r="2982" spans="1:11">
      <c r="A2982" s="568"/>
      <c r="B2982" s="593"/>
      <c r="C2982" s="589"/>
      <c r="D2982" s="578">
        <v>0</v>
      </c>
      <c r="E2982" s="579" t="s">
        <v>8</v>
      </c>
      <c r="F2982" s="569">
        <v>1</v>
      </c>
      <c r="G2982" s="612">
        <v>3.4</v>
      </c>
      <c r="H2982" s="612"/>
      <c r="I2982" s="596">
        <f>0.2+1.8+0.65</f>
        <v>2.65</v>
      </c>
      <c r="J2982" s="597">
        <f>PRODUCT(D2982:I2982)</f>
        <v>0</v>
      </c>
      <c r="K2982" s="581"/>
    </row>
    <row r="2983" spans="1:11">
      <c r="A2983" s="568"/>
      <c r="B2983" s="593" t="s">
        <v>509</v>
      </c>
      <c r="C2983" s="589"/>
      <c r="D2983" s="578">
        <v>0</v>
      </c>
      <c r="E2983" s="579" t="s">
        <v>8</v>
      </c>
      <c r="F2983" s="569">
        <v>2</v>
      </c>
      <c r="G2983" s="612">
        <v>4</v>
      </c>
      <c r="H2983" s="612"/>
      <c r="I2983" s="596">
        <v>3.1</v>
      </c>
      <c r="J2983" s="597">
        <f>PRODUCT(D2983:I2983)</f>
        <v>0</v>
      </c>
      <c r="K2983" s="581"/>
    </row>
    <row r="2984" spans="1:11">
      <c r="A2984" s="568"/>
      <c r="B2984" s="593"/>
      <c r="C2984" s="589"/>
      <c r="D2984" s="578">
        <v>0</v>
      </c>
      <c r="E2984" s="579" t="s">
        <v>8</v>
      </c>
      <c r="F2984" s="569">
        <v>2</v>
      </c>
      <c r="G2984" s="612">
        <v>2.2000000000000002</v>
      </c>
      <c r="H2984" s="612"/>
      <c r="I2984" s="596">
        <v>3.1</v>
      </c>
      <c r="J2984" s="597">
        <f>PRODUCT(D2984:I2984)</f>
        <v>0</v>
      </c>
      <c r="K2984" s="581"/>
    </row>
    <row r="2985" spans="1:11">
      <c r="A2985" s="568"/>
      <c r="B2985" s="593" t="s">
        <v>1425</v>
      </c>
      <c r="C2985" s="593"/>
      <c r="F2985" s="686"/>
      <c r="G2985" s="687"/>
      <c r="H2985" s="650"/>
      <c r="I2985" s="598"/>
      <c r="J2985" s="598"/>
      <c r="K2985" s="581"/>
    </row>
    <row r="2986" spans="1:11">
      <c r="A2986" s="568"/>
      <c r="B2986" s="593" t="s">
        <v>1266</v>
      </c>
      <c r="C2986" s="593"/>
      <c r="D2986" s="578">
        <v>1</v>
      </c>
      <c r="E2986" s="579" t="s">
        <v>8</v>
      </c>
      <c r="F2986" s="569">
        <v>1</v>
      </c>
      <c r="G2986" s="618">
        <v>40.549999999999997</v>
      </c>
      <c r="H2986" s="618"/>
      <c r="I2986" s="598">
        <v>0.3</v>
      </c>
      <c r="J2986" s="598">
        <f>ROUNDUP(PRODUCT(D2986:I2986),2)</f>
        <v>12.17</v>
      </c>
      <c r="K2986" s="581"/>
    </row>
    <row r="2987" spans="1:11">
      <c r="A2987" s="568"/>
      <c r="B2987" s="593" t="s">
        <v>54</v>
      </c>
      <c r="C2987" s="593"/>
      <c r="D2987" s="578">
        <v>1</v>
      </c>
      <c r="E2987" s="579" t="s">
        <v>8</v>
      </c>
      <c r="F2987" s="569">
        <v>1</v>
      </c>
      <c r="G2987" s="618">
        <v>144.46</v>
      </c>
      <c r="H2987" s="618"/>
      <c r="I2987" s="598">
        <v>0.3</v>
      </c>
      <c r="J2987" s="598">
        <f>ROUNDUP(PRODUCT(D2987:I2987),2)</f>
        <v>43.339999999999996</v>
      </c>
      <c r="K2987" s="581"/>
    </row>
    <row r="2988" spans="1:11">
      <c r="A2988" s="568"/>
      <c r="B2988" s="593" t="s">
        <v>600</v>
      </c>
      <c r="C2988" s="593"/>
      <c r="D2988" s="578">
        <v>1</v>
      </c>
      <c r="E2988" s="579" t="s">
        <v>8</v>
      </c>
      <c r="F2988" s="569">
        <v>1</v>
      </c>
      <c r="G2988" s="618">
        <v>22</v>
      </c>
      <c r="H2988" s="618"/>
      <c r="I2988" s="598">
        <v>0.3</v>
      </c>
      <c r="J2988" s="598">
        <f>ROUNDUP(PRODUCT(D2988:I2988),2)</f>
        <v>6.6</v>
      </c>
      <c r="K2988" s="581"/>
    </row>
    <row r="2989" spans="1:11">
      <c r="A2989" s="568"/>
      <c r="B2989" s="593" t="s">
        <v>601</v>
      </c>
      <c r="C2989" s="593"/>
      <c r="D2989" s="578">
        <v>1</v>
      </c>
      <c r="E2989" s="579" t="s">
        <v>8</v>
      </c>
      <c r="F2989" s="569">
        <v>2</v>
      </c>
      <c r="G2989" s="618">
        <v>19.3</v>
      </c>
      <c r="H2989" s="618"/>
      <c r="I2989" s="598">
        <v>0.3</v>
      </c>
      <c r="J2989" s="598">
        <f>ROUNDUP(PRODUCT(D2989:I2989),2)</f>
        <v>11.58</v>
      </c>
      <c r="K2989" s="581"/>
    </row>
    <row r="2990" spans="1:11">
      <c r="A2990" s="568"/>
      <c r="B2990" s="593" t="s">
        <v>1296</v>
      </c>
      <c r="C2990" s="593"/>
      <c r="D2990" s="578">
        <v>1</v>
      </c>
      <c r="E2990" s="579" t="s">
        <v>8</v>
      </c>
      <c r="F2990" s="569">
        <v>1</v>
      </c>
      <c r="G2990" s="618">
        <f>(5.3+5.27)*2</f>
        <v>21.14</v>
      </c>
      <c r="H2990" s="618"/>
      <c r="I2990" s="598">
        <v>0.3</v>
      </c>
      <c r="J2990" s="598">
        <f>ROUNDUP(PRODUCT(D2990:I2990),2)</f>
        <v>6.35</v>
      </c>
      <c r="K2990" s="581"/>
    </row>
    <row r="2991" spans="1:11">
      <c r="A2991" s="568"/>
      <c r="B2991" s="593"/>
      <c r="C2991" s="577"/>
      <c r="G2991" s="612"/>
      <c r="H2991" s="598"/>
      <c r="I2991" s="598"/>
      <c r="J2991" s="614">
        <f>SUM(J2949:J2990)</f>
        <v>80.039999999999992</v>
      </c>
      <c r="K2991" s="581"/>
    </row>
    <row r="2992" spans="1:11">
      <c r="A2992" s="568"/>
      <c r="B2992" s="622" t="s">
        <v>28</v>
      </c>
      <c r="C2992" s="577"/>
      <c r="G2992" s="612"/>
      <c r="H2992" s="598"/>
      <c r="I2992" s="598"/>
      <c r="J2992" s="605">
        <f>ROUNDUP(J2991,0)</f>
        <v>81</v>
      </c>
      <c r="K2992" s="576" t="s">
        <v>9</v>
      </c>
    </row>
    <row r="2993" spans="1:11" ht="41.25" customHeight="1">
      <c r="A2993" s="568">
        <f>+A2941+1</f>
        <v>58</v>
      </c>
      <c r="B2993" s="723" t="str">
        <f>'BOQ-C&amp;I'!C204</f>
        <v xml:space="preserve">Supply and laying water proofing treatment Internal surface of Lift wall, water tank etc., in the following order and  consisting of following operations. </v>
      </c>
      <c r="C2993" s="723"/>
      <c r="D2993" s="723"/>
      <c r="E2993" s="723"/>
      <c r="F2993" s="723"/>
      <c r="G2993" s="723"/>
      <c r="H2993" s="723"/>
      <c r="I2993" s="723"/>
      <c r="J2993" s="723"/>
      <c r="K2993" s="723"/>
    </row>
    <row r="2994" spans="1:11" ht="57.6" customHeight="1">
      <c r="A2994" s="568"/>
      <c r="B2994" s="723" t="str">
        <f>'BOQ-C&amp;I'!C205</f>
        <v xml:space="preserve"> i) Making ' V ' grooves at the construction joints of size  20 x 20 mm and clean the surface with wire brush, and filling the "V" Groove with CICO No. 3 Quick Setting Waterproofing Compound admixed with cement</v>
      </c>
      <c r="C2994" s="723"/>
      <c r="D2994" s="723"/>
      <c r="E2994" s="723"/>
      <c r="F2994" s="723"/>
      <c r="G2994" s="723"/>
      <c r="H2994" s="723"/>
      <c r="I2994" s="723"/>
      <c r="J2994" s="723"/>
      <c r="K2994" s="723"/>
    </row>
    <row r="2995" spans="1:11" ht="97.9" customHeight="1">
      <c r="A2995" s="568"/>
      <c r="B2995" s="723" t="str">
        <f>'BOQ-C&amp;I'!C206</f>
        <v>ii) Supply and Fixing 18 mm dia GI nozzles  (the hole shall be  about half the depth of the member to be grouted and nozzle should be 50mm)  the retaining wall, along  construction joints, and honey comb areas at a spacing not more than 1m c/c . Nozzles (can also) shall be post fixed by drilling holes using  drill machine and to be fixed with cement putty admixed with quick setting integral Waterproofing compound CICO NO.3 or approved equivalent in the ratio 1:1by weight .</v>
      </c>
      <c r="C2995" s="723"/>
      <c r="D2995" s="723"/>
      <c r="E2995" s="723"/>
      <c r="F2995" s="723"/>
      <c r="G2995" s="723"/>
      <c r="H2995" s="723"/>
      <c r="I2995" s="723"/>
      <c r="J2995" s="723"/>
      <c r="K2995" s="723"/>
    </row>
    <row r="2996" spans="1:11" ht="93.6" customHeight="1">
      <c r="A2996" s="568"/>
      <c r="B2996" s="723" t="str">
        <f>'BOQ-C&amp;I'!C207</f>
        <v>iii) Supply and Applying injection grouting through the nozzles by hand operated grouting pumps with a minimum pressure of 2 kg/sqcm with cement slurry admixed with CICO Non shrink Polymeric Water Proof Grouting Compound or approved equivalent at the rate of 2% by weight of cement .Grouting operations to be taken up after the concrete reached the full strength, i.e 28 days after casting of concrete.</v>
      </c>
      <c r="C2996" s="723"/>
      <c r="D2996" s="723"/>
      <c r="E2996" s="723"/>
      <c r="F2996" s="723"/>
      <c r="G2996" s="723"/>
      <c r="H2996" s="723"/>
      <c r="I2996" s="723"/>
      <c r="J2996" s="723"/>
      <c r="K2996" s="723"/>
    </row>
    <row r="2997" spans="1:11" ht="51" customHeight="1">
      <c r="A2997" s="568"/>
      <c r="B2997" s="723" t="str">
        <f>'BOQ-C&amp;I'!C208</f>
        <v>iv) Sealing off the nozzles after grouting operation is over with cement putty admixed with quick setting integral Waterproofing compound CICO NO.3 or approved equivalent in the ratio 1:1by weight.</v>
      </c>
      <c r="C2997" s="723"/>
      <c r="D2997" s="723"/>
      <c r="E2997" s="723"/>
      <c r="F2997" s="723"/>
      <c r="G2997" s="723"/>
      <c r="H2997" s="723"/>
      <c r="I2997" s="723"/>
      <c r="J2997" s="723"/>
      <c r="K2997" s="723"/>
    </row>
    <row r="2998" spans="1:11" ht="58.15" customHeight="1">
      <c r="A2998" s="568"/>
      <c r="B2998" s="723" t="str">
        <f>'BOQ-C&amp;I'!C209</f>
        <v>v) Cut the projected nozzles if required over the concrete surface and fill with  cement putty admixed with quick setting integral Waterproofing compound CICO NO.3 or approved equivalent in the ratio 1:1by weight.</v>
      </c>
      <c r="C2998" s="723"/>
      <c r="D2998" s="723"/>
      <c r="E2998" s="723"/>
      <c r="F2998" s="723"/>
      <c r="G2998" s="723"/>
      <c r="H2998" s="723"/>
      <c r="I2998" s="723"/>
      <c r="J2998" s="723"/>
      <c r="K2998" s="723"/>
    </row>
    <row r="2999" spans="1:11">
      <c r="A2999" s="568"/>
      <c r="B2999" s="584" t="s">
        <v>57</v>
      </c>
      <c r="C2999" s="577"/>
      <c r="G2999" s="612"/>
      <c r="H2999" s="598"/>
      <c r="I2999" s="598"/>
      <c r="J2999" s="598"/>
      <c r="K2999" s="581"/>
    </row>
    <row r="3000" spans="1:11">
      <c r="A3000" s="568"/>
      <c r="B3000" s="593" t="s">
        <v>56</v>
      </c>
      <c r="C3000" s="577"/>
      <c r="D3000" s="578">
        <v>1</v>
      </c>
      <c r="E3000" s="579" t="s">
        <v>8</v>
      </c>
      <c r="F3000" s="569">
        <v>1</v>
      </c>
      <c r="G3000" s="612">
        <f>(2.5+1.9)*2</f>
        <v>8.8000000000000007</v>
      </c>
      <c r="H3000" s="598"/>
      <c r="I3000" s="598">
        <v>1.8</v>
      </c>
      <c r="J3000" s="598">
        <f t="shared" ref="J3000" si="318">ROUNDUP(PRODUCT(D3000:I3000),2)</f>
        <v>15.84</v>
      </c>
      <c r="K3000" s="581"/>
    </row>
    <row r="3001" spans="1:11">
      <c r="A3001" s="568"/>
      <c r="B3001" s="593" t="s">
        <v>792</v>
      </c>
      <c r="C3001" s="589"/>
      <c r="D3001" s="578">
        <v>1</v>
      </c>
      <c r="E3001" s="579" t="s">
        <v>8</v>
      </c>
      <c r="F3001" s="569">
        <v>6</v>
      </c>
      <c r="G3001" s="598">
        <v>2.2999999999999998</v>
      </c>
      <c r="H3001" s="612"/>
      <c r="I3001" s="688">
        <f>1.8+0.65</f>
        <v>2.4500000000000002</v>
      </c>
      <c r="J3001" s="597">
        <f t="shared" ref="J3001:J3002" si="319">PRODUCT(D3001:I3001)</f>
        <v>33.81</v>
      </c>
      <c r="K3001" s="592"/>
    </row>
    <row r="3002" spans="1:11">
      <c r="A3002" s="568"/>
      <c r="B3002" s="593"/>
      <c r="C3002" s="589"/>
      <c r="D3002" s="578">
        <v>1</v>
      </c>
      <c r="E3002" s="579" t="s">
        <v>8</v>
      </c>
      <c r="F3002" s="569">
        <v>6</v>
      </c>
      <c r="G3002" s="612">
        <v>3</v>
      </c>
      <c r="H3002" s="612"/>
      <c r="I3002" s="688">
        <f>1.8+0.65</f>
        <v>2.4500000000000002</v>
      </c>
      <c r="J3002" s="597">
        <f t="shared" si="319"/>
        <v>44.1</v>
      </c>
      <c r="K3002" s="592"/>
    </row>
    <row r="3003" spans="1:11">
      <c r="A3003" s="568"/>
      <c r="B3003" s="593"/>
      <c r="C3003" s="577"/>
      <c r="G3003" s="612"/>
      <c r="H3003" s="598"/>
      <c r="I3003" s="598"/>
      <c r="J3003" s="614">
        <f>SUM(J3000:J3002)</f>
        <v>93.75</v>
      </c>
      <c r="K3003" s="581"/>
    </row>
    <row r="3004" spans="1:11">
      <c r="A3004" s="568"/>
      <c r="B3004" s="622" t="s">
        <v>28</v>
      </c>
      <c r="C3004" s="577"/>
      <c r="G3004" s="612"/>
      <c r="H3004" s="598"/>
      <c r="I3004" s="598"/>
      <c r="J3004" s="605">
        <f>ROUNDUP(J3003,0)</f>
        <v>94</v>
      </c>
      <c r="K3004" s="576" t="s">
        <v>9</v>
      </c>
    </row>
    <row r="3005" spans="1:11">
      <c r="A3005" s="568"/>
      <c r="B3005" s="593"/>
      <c r="C3005" s="577"/>
      <c r="G3005" s="612"/>
      <c r="H3005" s="598"/>
      <c r="I3005" s="598"/>
      <c r="J3005" s="598"/>
      <c r="K3005" s="581"/>
    </row>
    <row r="3006" spans="1:11" ht="212.25" customHeight="1">
      <c r="A3006" s="568">
        <f>A2993+1</f>
        <v>59</v>
      </c>
      <c r="B3006" s="723" t="str">
        <f>'BOQ-C&amp;I'!C211</f>
        <v>Providing Polymer Coating (Water Proof Coating) for sunken portion of toilet with following specification and the surface shall be cleaned to remove all dust, foregin, matters lose materials or any other deposits of contamination by rubbing with wire brush.Slurry: Dry blend and polymer liquid blend shall be mixed into the desired ratio as per recommendation of the supplier.The mix shall be stirred thoroughly until no bubbles remain in the mix. Any lumps found in mix shall be removed.Apply first coat of polymer modified cementitious slurry by brush on wet cleaned surface. After drying, second coat shall be applied on the first coat as directed by the departmental officers etc. The rate inclusive of cost of materials and labour, etc., complete.</v>
      </c>
      <c r="C3006" s="723"/>
      <c r="D3006" s="723"/>
      <c r="E3006" s="723"/>
      <c r="F3006" s="723"/>
      <c r="G3006" s="723"/>
      <c r="H3006" s="723"/>
      <c r="I3006" s="723"/>
      <c r="J3006" s="723"/>
      <c r="K3006" s="723"/>
    </row>
    <row r="3007" spans="1:11">
      <c r="A3007" s="568"/>
      <c r="B3007" s="584" t="s">
        <v>13</v>
      </c>
      <c r="C3007" s="577"/>
      <c r="G3007" s="612"/>
      <c r="H3007" s="598"/>
      <c r="I3007" s="598"/>
      <c r="J3007" s="598"/>
      <c r="K3007" s="581"/>
    </row>
    <row r="3008" spans="1:11">
      <c r="A3008" s="568"/>
      <c r="B3008" s="584" t="s">
        <v>1234</v>
      </c>
      <c r="C3008" s="577"/>
      <c r="G3008" s="612"/>
      <c r="H3008" s="598"/>
      <c r="I3008" s="598"/>
      <c r="J3008" s="598"/>
      <c r="K3008" s="581"/>
    </row>
    <row r="3009" spans="1:11">
      <c r="A3009" s="568"/>
      <c r="B3009" s="593" t="s">
        <v>1225</v>
      </c>
      <c r="C3009" s="577"/>
      <c r="D3009" s="578">
        <v>3</v>
      </c>
      <c r="E3009" s="579" t="s">
        <v>8</v>
      </c>
      <c r="F3009" s="569">
        <v>5</v>
      </c>
      <c r="G3009" s="724">
        <v>3.43</v>
      </c>
      <c r="H3009" s="724"/>
      <c r="I3009" s="598"/>
      <c r="J3009" s="598">
        <f t="shared" ref="J3009" si="320">ROUNDUP(PRODUCT(D3009:I3009),2)</f>
        <v>51.45</v>
      </c>
      <c r="K3009" s="581"/>
    </row>
    <row r="3010" spans="1:11">
      <c r="A3010" s="568"/>
      <c r="B3010" s="672" t="s">
        <v>1224</v>
      </c>
      <c r="C3010" s="577"/>
      <c r="D3010" s="578">
        <v>3</v>
      </c>
      <c r="E3010" s="579" t="s">
        <v>8</v>
      </c>
      <c r="F3010" s="569">
        <v>3</v>
      </c>
      <c r="G3010" s="598">
        <f>(1.15+1.4)*2</f>
        <v>5.0999999999999996</v>
      </c>
      <c r="H3010" s="598">
        <v>2.2000000000000002</v>
      </c>
      <c r="I3010" s="598"/>
      <c r="J3010" s="598">
        <f t="shared" ref="J3010:J3012" si="321">ROUNDUP(PRODUCT(D3010:I3010),2)</f>
        <v>100.98</v>
      </c>
      <c r="K3010" s="581"/>
    </row>
    <row r="3011" spans="1:11">
      <c r="A3011" s="568"/>
      <c r="B3011" s="672" t="s">
        <v>1224</v>
      </c>
      <c r="C3011" s="631"/>
      <c r="D3011" s="578">
        <v>3</v>
      </c>
      <c r="E3011" s="579" t="s">
        <v>8</v>
      </c>
      <c r="F3011" s="569">
        <v>1</v>
      </c>
      <c r="G3011" s="598">
        <v>1.325</v>
      </c>
      <c r="H3011" s="598">
        <v>1.5</v>
      </c>
      <c r="I3011" s="598"/>
      <c r="J3011" s="598">
        <f t="shared" si="321"/>
        <v>5.97</v>
      </c>
      <c r="K3011" s="581"/>
    </row>
    <row r="3012" spans="1:11">
      <c r="A3012" s="568"/>
      <c r="B3012" s="635" t="s">
        <v>1099</v>
      </c>
      <c r="C3012" s="631"/>
      <c r="D3012" s="578">
        <v>3</v>
      </c>
      <c r="E3012" s="579" t="s">
        <v>8</v>
      </c>
      <c r="F3012" s="569">
        <v>4</v>
      </c>
      <c r="G3012" s="598">
        <v>1.5</v>
      </c>
      <c r="H3012" s="598">
        <v>1.25</v>
      </c>
      <c r="I3012" s="598"/>
      <c r="J3012" s="598">
        <f t="shared" si="321"/>
        <v>22.5</v>
      </c>
      <c r="K3012" s="581"/>
    </row>
    <row r="3013" spans="1:11">
      <c r="A3013" s="568"/>
      <c r="B3013" s="593"/>
      <c r="C3013" s="577"/>
      <c r="G3013" s="612"/>
      <c r="H3013" s="598"/>
      <c r="I3013" s="598"/>
      <c r="J3013" s="614">
        <f>SUM(J3008:J3012)</f>
        <v>180.9</v>
      </c>
      <c r="K3013" s="581"/>
    </row>
    <row r="3014" spans="1:11">
      <c r="A3014" s="568"/>
      <c r="B3014" s="610" t="s">
        <v>28</v>
      </c>
      <c r="C3014" s="577"/>
      <c r="G3014" s="612"/>
      <c r="H3014" s="598"/>
      <c r="I3014" s="598"/>
      <c r="J3014" s="605">
        <f>ROUNDUP(J3013,0)</f>
        <v>181</v>
      </c>
      <c r="K3014" s="576" t="s">
        <v>9</v>
      </c>
    </row>
    <row r="3015" spans="1:11">
      <c r="A3015" s="568"/>
      <c r="B3015" s="593"/>
      <c r="C3015" s="577"/>
      <c r="G3015" s="612"/>
      <c r="H3015" s="598"/>
      <c r="I3015" s="598"/>
      <c r="J3015" s="598"/>
      <c r="K3015" s="581"/>
    </row>
    <row r="3016" spans="1:11" ht="112.15" customHeight="1">
      <c r="A3016" s="568">
        <f>A3006+1</f>
        <v>60</v>
      </c>
      <c r="B3016" s="723" t="str">
        <f>'BOQ-C&amp;I'!C212</f>
        <v>Supply and grouting the gaps around the pipes at any dia should be filed in order to provide a proper bond and the same to be aligned by the respective agency.  Clean the entire surface and remove the loose particles from the core area. Minimum of 10mm all around gap to be provided between the pipe and the core Provide shuttering below the core apply one coat of CICO LATEX over the area and fill up the hole with CICO GROUT - GP Polymer Based Non-Shrink Grout and finish the surface smoothly.</v>
      </c>
      <c r="C3016" s="723"/>
      <c r="D3016" s="723"/>
      <c r="E3016" s="723"/>
      <c r="F3016" s="723"/>
      <c r="G3016" s="723"/>
      <c r="H3016" s="723"/>
      <c r="I3016" s="723"/>
      <c r="J3016" s="723"/>
      <c r="K3016" s="723"/>
    </row>
    <row r="3017" spans="1:11">
      <c r="A3017" s="568"/>
      <c r="B3017" s="593" t="s">
        <v>510</v>
      </c>
      <c r="C3017" s="577"/>
      <c r="G3017" s="612"/>
      <c r="H3017" s="598"/>
      <c r="I3017" s="598"/>
      <c r="J3017" s="614">
        <v>50</v>
      </c>
      <c r="K3017" s="576" t="s">
        <v>51</v>
      </c>
    </row>
    <row r="3018" spans="1:11">
      <c r="A3018" s="568"/>
      <c r="B3018" s="593"/>
      <c r="C3018" s="577"/>
      <c r="G3018" s="612"/>
      <c r="H3018" s="598"/>
      <c r="I3018" s="598"/>
      <c r="J3018" s="598"/>
      <c r="K3018" s="581"/>
    </row>
    <row r="3019" spans="1:11" ht="162.6" customHeight="1">
      <c r="A3019" s="568">
        <f>+A3016+1</f>
        <v>61</v>
      </c>
      <c r="B3019" s="723" t="str">
        <f>'BOQ-C&amp;I'!C213</f>
        <v>Supplying and filling the sunken slab  area by  BRICK-BATCOBA by adding CICO NO:1 or approved equivalent admixture including applying two coats not less than 2 mm thick of TAPECRETE- Acrylic  Polymer Based Waterproof Coating, over the final coat of cement plaster 12 mm thick with cement M.sand mortar 1:3 mixed with water proofing compound like CICO No.1 at the rate specified in the manufacturer's specification after entire completion of laying pipes, sanitary fittings etc.  Rate including all materials, labour charges, wastages with necessary lead and lifts, working at all levels, protecting the laid pipes and sanitary fittings, finishing the surface smooth to receive the top coat of water proofing application etc. as complete with all respects complying with relevant standard specification and as directed by the departmental officers.</v>
      </c>
      <c r="C3019" s="723"/>
      <c r="D3019" s="723"/>
      <c r="E3019" s="723"/>
      <c r="F3019" s="723"/>
      <c r="G3019" s="723"/>
      <c r="H3019" s="723"/>
      <c r="I3019" s="723"/>
      <c r="J3019" s="723"/>
      <c r="K3019" s="723"/>
    </row>
    <row r="3020" spans="1:11">
      <c r="A3020" s="568"/>
      <c r="B3020" s="584" t="s">
        <v>13</v>
      </c>
      <c r="C3020" s="577"/>
      <c r="G3020" s="598"/>
      <c r="H3020" s="598"/>
      <c r="I3020" s="598"/>
      <c r="J3020" s="598"/>
      <c r="K3020" s="581"/>
    </row>
    <row r="3021" spans="1:11">
      <c r="A3021" s="568"/>
      <c r="B3021" s="584" t="s">
        <v>1234</v>
      </c>
      <c r="C3021" s="577"/>
      <c r="G3021" s="598"/>
      <c r="H3021" s="598"/>
      <c r="I3021" s="598"/>
      <c r="J3021" s="598"/>
      <c r="K3021" s="581"/>
    </row>
    <row r="3022" spans="1:11">
      <c r="A3022" s="568"/>
      <c r="B3022" s="593" t="s">
        <v>1225</v>
      </c>
      <c r="C3022" s="577"/>
      <c r="D3022" s="578">
        <v>3</v>
      </c>
      <c r="E3022" s="579" t="s">
        <v>8</v>
      </c>
      <c r="F3022" s="569">
        <v>5</v>
      </c>
      <c r="G3022" s="717">
        <v>7.7</v>
      </c>
      <c r="H3022" s="718"/>
      <c r="I3022" s="598">
        <v>0.2</v>
      </c>
      <c r="J3022" s="598">
        <f t="shared" ref="J3022:J3026" si="322">ROUNDUP(PRODUCT(D3022:I3022),2)</f>
        <v>23.1</v>
      </c>
      <c r="K3022" s="581"/>
    </row>
    <row r="3023" spans="1:11">
      <c r="A3023" s="568"/>
      <c r="B3023" s="593" t="s">
        <v>1236</v>
      </c>
      <c r="C3023" s="577"/>
      <c r="D3023" s="578">
        <v>3</v>
      </c>
      <c r="E3023" s="579" t="s">
        <v>8</v>
      </c>
      <c r="F3023" s="569">
        <v>5</v>
      </c>
      <c r="G3023" s="717">
        <v>22.5</v>
      </c>
      <c r="H3023" s="718"/>
      <c r="I3023" s="598">
        <v>0.2</v>
      </c>
      <c r="J3023" s="598">
        <f t="shared" si="322"/>
        <v>67.5</v>
      </c>
      <c r="K3023" s="581"/>
    </row>
    <row r="3024" spans="1:11">
      <c r="A3024" s="568"/>
      <c r="B3024" s="593" t="s">
        <v>1224</v>
      </c>
      <c r="C3024" s="577"/>
      <c r="D3024" s="578">
        <v>3</v>
      </c>
      <c r="E3024" s="579" t="s">
        <v>8</v>
      </c>
      <c r="F3024" s="569">
        <v>3</v>
      </c>
      <c r="G3024" s="598">
        <v>1.1499999999999999</v>
      </c>
      <c r="H3024" s="581">
        <v>1.5</v>
      </c>
      <c r="I3024" s="598">
        <v>0.2</v>
      </c>
      <c r="J3024" s="598">
        <f t="shared" si="322"/>
        <v>3.11</v>
      </c>
      <c r="K3024" s="581"/>
    </row>
    <row r="3025" spans="1:11">
      <c r="A3025" s="568"/>
      <c r="B3025" s="593" t="s">
        <v>1224</v>
      </c>
      <c r="C3025" s="577"/>
      <c r="D3025" s="578">
        <v>3</v>
      </c>
      <c r="E3025" s="579" t="s">
        <v>8</v>
      </c>
      <c r="F3025" s="569">
        <v>1</v>
      </c>
      <c r="G3025" s="598">
        <v>1.325</v>
      </c>
      <c r="H3025" s="581">
        <v>1.5</v>
      </c>
      <c r="I3025" s="598">
        <v>0.2</v>
      </c>
      <c r="J3025" s="598">
        <f t="shared" si="322"/>
        <v>1.2</v>
      </c>
      <c r="K3025" s="581"/>
    </row>
    <row r="3026" spans="1:11">
      <c r="A3026" s="568"/>
      <c r="B3026" s="593" t="s">
        <v>1099</v>
      </c>
      <c r="C3026" s="577"/>
      <c r="D3026" s="578">
        <v>3</v>
      </c>
      <c r="E3026" s="579" t="s">
        <v>8</v>
      </c>
      <c r="F3026" s="569">
        <v>3</v>
      </c>
      <c r="G3026" s="598">
        <v>1.25</v>
      </c>
      <c r="H3026" s="581">
        <v>1.5</v>
      </c>
      <c r="I3026" s="598">
        <v>0.2</v>
      </c>
      <c r="J3026" s="598">
        <f t="shared" si="322"/>
        <v>3.38</v>
      </c>
      <c r="K3026" s="581"/>
    </row>
    <row r="3027" spans="1:11">
      <c r="A3027" s="568"/>
      <c r="B3027" s="593"/>
      <c r="C3027" s="577"/>
      <c r="G3027" s="650"/>
      <c r="H3027" s="618"/>
      <c r="I3027" s="598"/>
      <c r="J3027" s="614">
        <f>SUM(J3020:J3026)</f>
        <v>98.289999999999992</v>
      </c>
      <c r="K3027" s="581"/>
    </row>
    <row r="3028" spans="1:11">
      <c r="A3028" s="568"/>
      <c r="B3028" s="622" t="s">
        <v>28</v>
      </c>
      <c r="C3028" s="577"/>
      <c r="G3028" s="612"/>
      <c r="H3028" s="598"/>
      <c r="I3028" s="598"/>
      <c r="J3028" s="605">
        <f>ROUNDUP(J3027,0)</f>
        <v>99</v>
      </c>
      <c r="K3028" s="576" t="s">
        <v>52</v>
      </c>
    </row>
    <row r="3029" spans="1:11">
      <c r="A3029" s="568"/>
      <c r="B3029" s="593"/>
      <c r="C3029" s="577"/>
      <c r="G3029" s="612"/>
      <c r="H3029" s="598"/>
      <c r="I3029" s="598"/>
      <c r="J3029" s="598"/>
      <c r="K3029" s="581"/>
    </row>
    <row r="3030" spans="1:11" ht="38.25" customHeight="1">
      <c r="A3030" s="568">
        <f>A3019+1</f>
        <v>62</v>
      </c>
      <c r="B3030" s="723" t="str">
        <f>'BOQ-C&amp;I'!C214</f>
        <v xml:space="preserve">Supply and laying water proofing treatment for bottom of over head tanks  covering the following order and  consisting of following operations. </v>
      </c>
      <c r="C3030" s="723"/>
      <c r="D3030" s="723"/>
      <c r="E3030" s="723"/>
      <c r="F3030" s="723"/>
      <c r="G3030" s="723"/>
      <c r="H3030" s="723"/>
      <c r="I3030" s="723"/>
      <c r="J3030" s="723"/>
      <c r="K3030" s="723"/>
    </row>
    <row r="3031" spans="1:11" ht="66.599999999999994" customHeight="1">
      <c r="A3031" s="568"/>
      <c r="B3031" s="723" t="str">
        <f>'BOQ-C&amp;I'!C215</f>
        <v xml:space="preserve">i)Supply and Fixing 75 mm long 18 mm dia GI nozzles in the hole of about half the depth of member size in grid pattern at a spacing not more than 1.0 meter c/c while casting the bottom slab and along  construction joints at a spacing not more than 1.0 meter c/c along the construction joints. </v>
      </c>
      <c r="C3031" s="723"/>
      <c r="D3031" s="723"/>
      <c r="E3031" s="723"/>
      <c r="F3031" s="723"/>
      <c r="G3031" s="723"/>
      <c r="H3031" s="723"/>
      <c r="I3031" s="723"/>
      <c r="J3031" s="723"/>
      <c r="K3031" s="723"/>
    </row>
    <row r="3032" spans="1:11" ht="64.150000000000006" customHeight="1">
      <c r="A3032" s="568"/>
      <c r="B3032" s="723" t="str">
        <f>'BOQ-C&amp;I'!C216</f>
        <v>ii) Supply and Applying injection grouting through the nozzles grouting pumps with a minimum pressure of 2 kg/sqcm with cement slurry admixed with CICO Non shrink Polymeric Water Proof Grouting Compound or approved equivalent at the rate of 2% by weight of cement.</v>
      </c>
      <c r="C3032" s="723"/>
      <c r="D3032" s="723"/>
      <c r="E3032" s="723"/>
      <c r="F3032" s="723"/>
      <c r="G3032" s="723"/>
      <c r="H3032" s="723"/>
      <c r="I3032" s="723"/>
      <c r="J3032" s="723"/>
      <c r="K3032" s="723"/>
    </row>
    <row r="3033" spans="1:11" ht="34.5" customHeight="1">
      <c r="A3033" s="568"/>
      <c r="B3033" s="723" t="str">
        <f>'BOQ-C&amp;I'!C217</f>
        <v>iii) Sealing off the nozzles and level the surface using integral Waterproofing compound CICO NO.3 or approved equivalent in the ratio 1:1by weight.</v>
      </c>
      <c r="C3033" s="723"/>
      <c r="D3033" s="723"/>
      <c r="E3033" s="723"/>
      <c r="F3033" s="723"/>
      <c r="G3033" s="723"/>
      <c r="H3033" s="723"/>
      <c r="I3033" s="723"/>
      <c r="J3033" s="723"/>
      <c r="K3033" s="723"/>
    </row>
    <row r="3034" spans="1:11" ht="56.45" customHeight="1">
      <c r="A3034" s="568"/>
      <c r="B3034" s="723" t="str">
        <f>'BOQ-C&amp;I'!C218</f>
        <v xml:space="preserve">iv)The concrete slab  shall be thoroughly cleaned to remove debris and dust, and application of two coats not less than 2 mm thick of TAPECRETE - RTU Polymer Based Elastomeric Waterproof Coating over  well prepared surface </v>
      </c>
      <c r="C3034" s="723"/>
      <c r="D3034" s="723"/>
      <c r="E3034" s="723"/>
      <c r="F3034" s="723"/>
      <c r="G3034" s="723"/>
      <c r="H3034" s="723"/>
      <c r="I3034" s="723"/>
      <c r="J3034" s="723"/>
      <c r="K3034" s="723"/>
    </row>
    <row r="3035" spans="1:11">
      <c r="A3035" s="568"/>
      <c r="B3035" s="584" t="s">
        <v>639</v>
      </c>
      <c r="C3035" s="577"/>
      <c r="D3035" s="578">
        <v>1</v>
      </c>
      <c r="E3035" s="579" t="s">
        <v>8</v>
      </c>
      <c r="F3035" s="569">
        <v>1</v>
      </c>
      <c r="G3035" s="612">
        <v>3.6</v>
      </c>
      <c r="H3035" s="612">
        <v>1.8</v>
      </c>
      <c r="I3035" s="596">
        <v>3.1</v>
      </c>
      <c r="J3035" s="598">
        <f t="shared" ref="J3035" si="323">ROUNDUP(PRODUCT(D3035:I3035),2)</f>
        <v>20.09</v>
      </c>
      <c r="K3035" s="576"/>
    </row>
    <row r="3036" spans="1:11">
      <c r="A3036" s="568"/>
      <c r="B3036" s="584"/>
      <c r="C3036" s="577"/>
      <c r="G3036" s="612"/>
      <c r="H3036" s="598"/>
      <c r="I3036" s="598"/>
      <c r="J3036" s="614">
        <f>SUM(J3035:J3035)</f>
        <v>20.09</v>
      </c>
      <c r="K3036" s="576"/>
    </row>
    <row r="3037" spans="1:11">
      <c r="A3037" s="568"/>
      <c r="B3037" s="622" t="s">
        <v>28</v>
      </c>
      <c r="C3037" s="577"/>
      <c r="G3037" s="612"/>
      <c r="H3037" s="598"/>
      <c r="I3037" s="598"/>
      <c r="J3037" s="605">
        <f>ROUNDUP(J3036,0)</f>
        <v>21</v>
      </c>
      <c r="K3037" s="576" t="s">
        <v>9</v>
      </c>
    </row>
    <row r="3038" spans="1:11">
      <c r="A3038" s="568"/>
      <c r="B3038" s="593"/>
      <c r="C3038" s="577"/>
      <c r="G3038" s="612"/>
      <c r="H3038" s="598"/>
      <c r="I3038" s="598"/>
      <c r="J3038" s="598"/>
      <c r="K3038" s="581"/>
    </row>
    <row r="3039" spans="1:11" ht="34.5" customHeight="1">
      <c r="A3039" s="568">
        <f>A3030+1</f>
        <v>63</v>
      </c>
      <c r="B3039" s="723" t="str">
        <f>'BOQ-C&amp;I'!C219</f>
        <v xml:space="preserve">Supply and laying water proofing treatment of internal walls Over head tanks, Water tanks etc.,   covering the following order and  consisting of following operations. </v>
      </c>
      <c r="C3039" s="723"/>
      <c r="D3039" s="723"/>
      <c r="E3039" s="723"/>
      <c r="F3039" s="723"/>
      <c r="G3039" s="723"/>
      <c r="H3039" s="723"/>
      <c r="I3039" s="723"/>
      <c r="J3039" s="723"/>
      <c r="K3039" s="723"/>
    </row>
    <row r="3040" spans="1:11" ht="34.5" customHeight="1">
      <c r="A3040" s="568"/>
      <c r="B3040" s="723" t="str">
        <f>'BOQ-C&amp;I'!C220</f>
        <v>i)Supply and Fixing 75 mm long 18 mm dia GI nozzles in the hole of about half the depth of member size along  the construction joints, and honey comb areas at a spacing not more than 1m c/c.</v>
      </c>
      <c r="C3040" s="723"/>
      <c r="D3040" s="723"/>
      <c r="E3040" s="723"/>
      <c r="F3040" s="723"/>
      <c r="G3040" s="723"/>
      <c r="H3040" s="723"/>
      <c r="I3040" s="723"/>
      <c r="J3040" s="723"/>
      <c r="K3040" s="723"/>
    </row>
    <row r="3041" spans="1:11" ht="86.25" customHeight="1">
      <c r="A3041" s="568"/>
      <c r="B3041" s="723" t="str">
        <f>'BOQ-C&amp;I'!C221</f>
        <v>ii) Applying injection grouting through the nozzles grouting pumps with a minimum pressure of 2 kg/sqcm with cement slurry admixed with CICO Non shrink Polymeric Water Proof Grouting Compound or approved equivalent at the rate of 2% by weight of cement .Grouting operations to be taken up after the concrete reached the full strength, i.e. 28 days  after casting of concrete.</v>
      </c>
      <c r="C3041" s="723"/>
      <c r="D3041" s="723"/>
      <c r="E3041" s="723"/>
      <c r="F3041" s="723"/>
      <c r="G3041" s="723"/>
      <c r="H3041" s="723"/>
      <c r="I3041" s="723"/>
      <c r="J3041" s="723"/>
      <c r="K3041" s="723"/>
    </row>
    <row r="3042" spans="1:11" ht="34.5" customHeight="1">
      <c r="A3042" s="568"/>
      <c r="B3042" s="723" t="str">
        <f>'BOQ-C&amp;I'!C222</f>
        <v>iii) Sealing &amp;cutting of the nozzles and levelling the surface using integral Waterproofing compound CICO NO.3 or approved equivalent in the ratio 1:1by weight.</v>
      </c>
      <c r="C3042" s="723"/>
      <c r="D3042" s="723"/>
      <c r="E3042" s="723"/>
      <c r="F3042" s="723"/>
      <c r="G3042" s="723"/>
      <c r="H3042" s="723"/>
      <c r="I3042" s="723"/>
      <c r="J3042" s="723"/>
      <c r="K3042" s="723"/>
    </row>
    <row r="3043" spans="1:11" ht="60.6" customHeight="1">
      <c r="A3043" s="568"/>
      <c r="B3043" s="723" t="str">
        <f>'BOQ-C&amp;I'!C223</f>
        <v xml:space="preserve">iv)The  wall surface shall be thoroughly cleaned to remove debris and dust, and application of two coats not less than 2 mm thick of  TAPECRETE - RTU Polymer Based Elastomeric Waterproof Coating over  well prepared surface </v>
      </c>
      <c r="C3043" s="723"/>
      <c r="D3043" s="723"/>
      <c r="E3043" s="723"/>
      <c r="F3043" s="723"/>
      <c r="G3043" s="723"/>
      <c r="H3043" s="723"/>
      <c r="I3043" s="723"/>
      <c r="J3043" s="723"/>
      <c r="K3043" s="723"/>
    </row>
    <row r="3044" spans="1:11">
      <c r="A3044" s="568"/>
      <c r="B3044" s="584" t="s">
        <v>639</v>
      </c>
      <c r="C3044" s="577"/>
      <c r="D3044" s="578">
        <v>1</v>
      </c>
      <c r="E3044" s="579" t="s">
        <v>8</v>
      </c>
      <c r="F3044" s="569">
        <v>2</v>
      </c>
      <c r="G3044" s="612">
        <v>2.4</v>
      </c>
      <c r="H3044" s="598"/>
      <c r="I3044" s="598">
        <v>2.0499999999999998</v>
      </c>
      <c r="J3044" s="598">
        <f t="shared" ref="J3044" si="324">ROUNDUP(PRODUCT(D3044:I3044),2)</f>
        <v>9.84</v>
      </c>
      <c r="K3044" s="576"/>
    </row>
    <row r="3045" spans="1:11">
      <c r="A3045" s="568"/>
      <c r="B3045" s="584"/>
      <c r="C3045" s="577"/>
      <c r="D3045" s="578">
        <v>1</v>
      </c>
      <c r="E3045" s="579" t="s">
        <v>8</v>
      </c>
      <c r="F3045" s="569">
        <v>2</v>
      </c>
      <c r="G3045" s="612">
        <v>1.8</v>
      </c>
      <c r="H3045" s="598"/>
      <c r="I3045" s="598">
        <v>2.0499999999999998</v>
      </c>
      <c r="J3045" s="598">
        <f t="shared" ref="J3045" si="325">ROUNDUP(PRODUCT(D3045:I3045),2)</f>
        <v>7.38</v>
      </c>
      <c r="K3045" s="576"/>
    </row>
    <row r="3046" spans="1:11">
      <c r="A3046" s="568"/>
      <c r="B3046" s="584"/>
      <c r="C3046" s="577"/>
      <c r="D3046" s="578">
        <v>1</v>
      </c>
      <c r="E3046" s="579" t="s">
        <v>8</v>
      </c>
      <c r="F3046" s="569">
        <v>2</v>
      </c>
      <c r="G3046" s="612">
        <v>1</v>
      </c>
      <c r="H3046" s="598"/>
      <c r="I3046" s="598">
        <v>2.0499999999999998</v>
      </c>
      <c r="J3046" s="598">
        <f t="shared" ref="J3046" si="326">ROUNDUP(PRODUCT(D3046:I3046),2)</f>
        <v>4.0999999999999996</v>
      </c>
      <c r="K3046" s="576"/>
    </row>
    <row r="3047" spans="1:11">
      <c r="A3047" s="568"/>
      <c r="B3047" s="584"/>
      <c r="C3047" s="577"/>
      <c r="D3047" s="578">
        <v>1</v>
      </c>
      <c r="E3047" s="579" t="s">
        <v>8</v>
      </c>
      <c r="F3047" s="569">
        <v>2</v>
      </c>
      <c r="G3047" s="612">
        <v>1.8</v>
      </c>
      <c r="H3047" s="598"/>
      <c r="I3047" s="598">
        <v>2.0499999999999998</v>
      </c>
      <c r="J3047" s="598">
        <f t="shared" ref="J3047" si="327">ROUNDUP(PRODUCT(D3047:I3047),2)</f>
        <v>7.38</v>
      </c>
      <c r="K3047" s="576"/>
    </row>
    <row r="3048" spans="1:11">
      <c r="A3048" s="568"/>
      <c r="B3048" s="584"/>
      <c r="C3048" s="577"/>
      <c r="G3048" s="612"/>
      <c r="H3048" s="598"/>
      <c r="I3048" s="598"/>
      <c r="J3048" s="614">
        <f>SUM(J3044:J3047)</f>
        <v>28.7</v>
      </c>
      <c r="K3048" s="576"/>
    </row>
    <row r="3049" spans="1:11">
      <c r="A3049" s="568"/>
      <c r="B3049" s="622" t="s">
        <v>28</v>
      </c>
      <c r="C3049" s="577"/>
      <c r="G3049" s="612"/>
      <c r="H3049" s="598"/>
      <c r="I3049" s="598"/>
      <c r="J3049" s="605">
        <f>ROUNDUP(J3048,0)</f>
        <v>29</v>
      </c>
      <c r="K3049" s="576" t="s">
        <v>9</v>
      </c>
    </row>
    <row r="3050" spans="1:11">
      <c r="A3050" s="568"/>
      <c r="B3050" s="593"/>
      <c r="C3050" s="577"/>
      <c r="G3050" s="612"/>
      <c r="H3050" s="598"/>
      <c r="I3050" s="598"/>
      <c r="J3050" s="598"/>
      <c r="K3050" s="581"/>
    </row>
    <row r="3051" spans="1:11" ht="64.900000000000006" customHeight="1">
      <c r="A3051" s="568">
        <f>A3039+1</f>
        <v>64</v>
      </c>
      <c r="B3051" s="723" t="str">
        <f>'BOQ-C&amp;I'!C224</f>
        <v>TERRACE    WATERPROOFING:Supply and laying water proofing treatment for terrace covering the following order and  consisting of following operations.</v>
      </c>
      <c r="C3051" s="723"/>
      <c r="D3051" s="723"/>
      <c r="E3051" s="723"/>
      <c r="F3051" s="723"/>
      <c r="G3051" s="723"/>
      <c r="H3051" s="723"/>
      <c r="I3051" s="723"/>
      <c r="J3051" s="723"/>
      <c r="K3051" s="723"/>
    </row>
    <row r="3052" spans="1:11" ht="41.25" customHeight="1">
      <c r="A3052" s="568"/>
      <c r="B3052" s="723" t="str">
        <f>'BOQ-C&amp;I'!C225</f>
        <v>i) Making ' V ' grooves at the construction joints of size  20 x 20 mm and filling the "V" Groove with CICO No. 3 Quick Setting Waterproofing Compound admixed with cement.</v>
      </c>
      <c r="C3052" s="723"/>
      <c r="D3052" s="723"/>
      <c r="E3052" s="723"/>
      <c r="F3052" s="723"/>
      <c r="G3052" s="723"/>
      <c r="H3052" s="723"/>
      <c r="I3052" s="723"/>
      <c r="J3052" s="723"/>
      <c r="K3052" s="723"/>
    </row>
    <row r="3053" spans="1:11" ht="110.45" customHeight="1">
      <c r="A3053" s="568"/>
      <c r="B3053" s="723" t="str">
        <f>'BOQ-C&amp;I'!C226</f>
        <v>ii) Supply and Fixing 18 mm dia GI nozzles  (the hole shall be  about half the depth of the member to be grouted and nozzle should be 50mm)  the retaining wall, along  construction joints, and honey comb areas at a spacing not more than 1m c/c . Nozzles (can also) shall be post fixed by drilling holes using  drill machine and to be fixed with cement putty admixed with quick setting integral Waterproofing compound CICO NO.3 or approved equivalent in the ratio 1:1by weight .</v>
      </c>
      <c r="C3053" s="723"/>
      <c r="D3053" s="723"/>
      <c r="E3053" s="723"/>
      <c r="F3053" s="723"/>
      <c r="G3053" s="723"/>
      <c r="H3053" s="723"/>
      <c r="I3053" s="723"/>
      <c r="J3053" s="723"/>
      <c r="K3053" s="723"/>
    </row>
    <row r="3054" spans="1:11" ht="82.9" customHeight="1">
      <c r="A3054" s="568"/>
      <c r="B3054" s="723" t="str">
        <f>'BOQ-C&amp;I'!C227</f>
        <v>The roof slab / gutter slab  shall be thoroughly cleaned to remove debris and dust, and applying 2 coats not less than 2 mm of polymer based Elastomeric Coating like TAPECRETE - RTU compound and cured for 7 days  and followed by a layer of 20 mm thick cement mortar 1:3 admixed with CICO NO:1 (or) other approved equivalent make shall  be spread over the prepared surface</v>
      </c>
      <c r="C3054" s="723"/>
      <c r="D3054" s="723"/>
      <c r="E3054" s="723"/>
      <c r="F3054" s="723"/>
      <c r="G3054" s="723"/>
      <c r="H3054" s="723"/>
      <c r="I3054" s="723"/>
      <c r="J3054" s="723"/>
      <c r="K3054" s="723"/>
    </row>
    <row r="3055" spans="1:11" ht="86.45" customHeight="1">
      <c r="A3055" s="568"/>
      <c r="B3055" s="723" t="str">
        <f>'BOQ-C&amp;I'!C228</f>
        <v xml:space="preserve">On the spread mortar provide and lay  well burnt brick bats (COBA) to a average minimum thickness of 55 mm (i.e.. minimum 40 mm thickness at lower end and 70 mm thickness at higher end).  An additional layer of brick bat (COBA) shall be laid over the existing brick bat COBA surface if required to get the required gradient for adequate drainage giving a slope of approximately 1 in 120, which will be measured separately under relevant  item. </v>
      </c>
      <c r="C3055" s="723"/>
      <c r="D3055" s="723"/>
      <c r="E3055" s="723"/>
      <c r="F3055" s="723"/>
      <c r="G3055" s="723"/>
      <c r="H3055" s="723"/>
      <c r="I3055" s="723"/>
      <c r="J3055" s="723"/>
      <c r="K3055" s="723"/>
    </row>
    <row r="3056" spans="1:11" ht="91.15" customHeight="1">
      <c r="A3056" s="568"/>
      <c r="B3056" s="723" t="str">
        <f>'BOQ-C&amp;I'!C229</f>
        <v>The gap  between brick bat shall be filled with cement mortar 1:4 admixed with waterproofing compound like CICO NO:1 or approved equivalent afterwards curing shall be carried out for two days a final layer of cement mortar of 1:3 admixed with water proofing compound like CICO NO:1 or approved equivalent make shall be  laid   to  a  thickness of  20 mm and draw a false line of 300 mm x 300 mm.</v>
      </c>
      <c r="C3056" s="723"/>
      <c r="D3056" s="723"/>
      <c r="E3056" s="723"/>
      <c r="F3056" s="723"/>
      <c r="G3056" s="723"/>
      <c r="H3056" s="723"/>
      <c r="I3056" s="723"/>
      <c r="J3056" s="723"/>
      <c r="K3056" s="723"/>
    </row>
    <row r="3057" spans="1:11" ht="144" customHeight="1">
      <c r="A3057" s="568"/>
      <c r="B3057" s="723" t="str">
        <f>'BOQ-C&amp;I'!C230</f>
        <v>The parapet side wall / gutter wall shall be thoroughly cleaned to remove all dust particles and a layer of 15 mm thick C.M 1:3 shall be laid to a height of about 300 mm above the top of the terrace/Gutter slab on the Parapet / Gutter side wall admixed with water proofing compound like the CICO NO:1  or approved equivalent make. Providing, supplying, mixing, applying two coats of ready to use two component Acrylic polymer modified cement based, flexible, water proofing slurry like or approved equivalent to a thickness of 2 mm over the plastered surface of operation as per manufacturer's specification and as directed. (Plan area of Terrace only will be measured for payment )</v>
      </c>
      <c r="C3057" s="723"/>
      <c r="D3057" s="723"/>
      <c r="E3057" s="723"/>
      <c r="F3057" s="723"/>
      <c r="G3057" s="723"/>
      <c r="H3057" s="723"/>
      <c r="I3057" s="723"/>
      <c r="J3057" s="723"/>
      <c r="K3057" s="723"/>
    </row>
    <row r="3058" spans="1:11">
      <c r="A3058" s="568"/>
      <c r="B3058" s="584" t="s">
        <v>54</v>
      </c>
      <c r="C3058" s="577"/>
      <c r="G3058" s="598"/>
      <c r="H3058" s="598"/>
      <c r="I3058" s="598"/>
      <c r="J3058" s="598"/>
      <c r="K3058" s="581"/>
    </row>
    <row r="3059" spans="1:11">
      <c r="A3059" s="568"/>
      <c r="B3059" s="593" t="s">
        <v>123</v>
      </c>
      <c r="C3059" s="577"/>
      <c r="D3059" s="578">
        <v>1</v>
      </c>
      <c r="E3059" s="579" t="s">
        <v>8</v>
      </c>
      <c r="F3059" s="569">
        <v>1</v>
      </c>
      <c r="G3059" s="717">
        <v>65.099999999999994</v>
      </c>
      <c r="H3059" s="718"/>
      <c r="I3059" s="598"/>
      <c r="J3059" s="598">
        <f t="shared" ref="J3059:J3063" si="328">ROUNDUP(PRODUCT(D3059:I3059),2)</f>
        <v>65.099999999999994</v>
      </c>
      <c r="K3059" s="581"/>
    </row>
    <row r="3060" spans="1:11">
      <c r="A3060" s="568"/>
      <c r="B3060" s="593" t="s">
        <v>25</v>
      </c>
      <c r="C3060" s="577"/>
      <c r="D3060" s="578">
        <v>1</v>
      </c>
      <c r="E3060" s="579" t="s">
        <v>8</v>
      </c>
      <c r="F3060" s="569">
        <v>1</v>
      </c>
      <c r="G3060" s="717">
        <v>442</v>
      </c>
      <c r="H3060" s="718"/>
      <c r="I3060" s="598"/>
      <c r="J3060" s="598">
        <f t="shared" si="328"/>
        <v>442</v>
      </c>
      <c r="K3060" s="581"/>
    </row>
    <row r="3061" spans="1:11">
      <c r="A3061" s="568"/>
      <c r="B3061" s="629" t="s">
        <v>1264</v>
      </c>
      <c r="C3061" s="577"/>
      <c r="D3061" s="578">
        <v>1</v>
      </c>
      <c r="E3061" s="579" t="s">
        <v>8</v>
      </c>
      <c r="F3061" s="569">
        <v>1</v>
      </c>
      <c r="G3061" s="717">
        <v>10.7</v>
      </c>
      <c r="H3061" s="718"/>
      <c r="I3061" s="598"/>
      <c r="J3061" s="598">
        <f t="shared" si="328"/>
        <v>10.7</v>
      </c>
      <c r="K3061" s="581"/>
    </row>
    <row r="3062" spans="1:11">
      <c r="A3062" s="568"/>
      <c r="B3062" s="593" t="s">
        <v>1265</v>
      </c>
      <c r="C3062" s="577"/>
      <c r="D3062" s="578">
        <v>1</v>
      </c>
      <c r="E3062" s="579" t="s">
        <v>8</v>
      </c>
      <c r="F3062" s="569">
        <v>2</v>
      </c>
      <c r="G3062" s="717">
        <v>27.01</v>
      </c>
      <c r="H3062" s="718"/>
      <c r="I3062" s="598"/>
      <c r="J3062" s="598">
        <f t="shared" si="328"/>
        <v>54.02</v>
      </c>
      <c r="K3062" s="581"/>
    </row>
    <row r="3063" spans="1:11">
      <c r="A3063" s="568"/>
      <c r="B3063" s="593" t="s">
        <v>1296</v>
      </c>
      <c r="C3063" s="577"/>
      <c r="D3063" s="578">
        <v>1</v>
      </c>
      <c r="E3063" s="579" t="s">
        <v>8</v>
      </c>
      <c r="F3063" s="569">
        <v>1</v>
      </c>
      <c r="G3063" s="618">
        <v>5.3</v>
      </c>
      <c r="H3063" s="618">
        <v>5.27</v>
      </c>
      <c r="I3063" s="598"/>
      <c r="J3063" s="598">
        <f t="shared" si="328"/>
        <v>27.94</v>
      </c>
      <c r="K3063" s="581"/>
    </row>
    <row r="3064" spans="1:11">
      <c r="A3064" s="568"/>
      <c r="B3064" s="593"/>
      <c r="C3064" s="593"/>
      <c r="G3064" s="618"/>
      <c r="H3064" s="618"/>
      <c r="I3064" s="598"/>
      <c r="J3064" s="614">
        <f>SUM(J3059:J3063)</f>
        <v>599.7600000000001</v>
      </c>
      <c r="K3064" s="581"/>
    </row>
    <row r="3065" spans="1:11">
      <c r="A3065" s="568"/>
      <c r="B3065" s="622" t="s">
        <v>28</v>
      </c>
      <c r="C3065" s="581"/>
      <c r="G3065" s="581"/>
      <c r="H3065" s="581"/>
      <c r="I3065" s="598"/>
      <c r="J3065" s="605">
        <f>ROUNDUP(J3064,0)</f>
        <v>600</v>
      </c>
      <c r="K3065" s="576" t="s">
        <v>9</v>
      </c>
    </row>
    <row r="3066" spans="1:11" ht="85.5" customHeight="1">
      <c r="A3066" s="568">
        <f>A3051+1</f>
        <v>65</v>
      </c>
      <c r="B3066" s="723" t="str">
        <f>'BOQ-C&amp;I'!C231</f>
        <v>Supply installation and finishing of the Terrace floor with one course of Thermatek tiles of size 300x300x19mm laid on top. Cost of Thermotech tiles set in 20mm thick C.M.1:4 and pointing with approved make epoxy grout of to matching colour shade as per Manufacturer's Specification and as directed. Rate shall include wastages, for preparation of base surface, cleaning, acid wash, and finished surface, at all levels and as directed. Rate shall be inclusive of wastages,  cost of all materials, labour charges for lifting to open terrace, laying and finishing and other incidental charges etc., complete and as directed by the departmental officers. (The Brand and quality of tiles should be got approved from the Executive Engineer before using)</v>
      </c>
      <c r="C3066" s="723"/>
      <c r="D3066" s="723"/>
      <c r="E3066" s="723"/>
      <c r="F3066" s="723"/>
      <c r="G3066" s="723"/>
      <c r="H3066" s="723"/>
      <c r="I3066" s="723"/>
      <c r="J3066" s="723"/>
      <c r="K3066" s="723"/>
    </row>
    <row r="3067" spans="1:11">
      <c r="A3067" s="568"/>
      <c r="B3067" s="584" t="s">
        <v>54</v>
      </c>
      <c r="C3067" s="577"/>
      <c r="G3067" s="598"/>
      <c r="H3067" s="598"/>
      <c r="I3067" s="598"/>
      <c r="J3067" s="598"/>
      <c r="K3067" s="581"/>
    </row>
    <row r="3068" spans="1:11">
      <c r="A3068" s="568"/>
      <c r="B3068" s="593" t="s">
        <v>123</v>
      </c>
      <c r="C3068" s="577"/>
      <c r="D3068" s="578">
        <v>1</v>
      </c>
      <c r="E3068" s="579" t="s">
        <v>8</v>
      </c>
      <c r="F3068" s="569">
        <v>1</v>
      </c>
      <c r="G3068" s="717">
        <v>65.099999999999994</v>
      </c>
      <c r="H3068" s="718"/>
      <c r="I3068" s="598"/>
      <c r="J3068" s="598">
        <f t="shared" ref="J3068:J3078" si="329">ROUNDUP(PRODUCT(D3068:I3068),2)</f>
        <v>65.099999999999994</v>
      </c>
      <c r="K3068" s="581"/>
    </row>
    <row r="3069" spans="1:11">
      <c r="A3069" s="568"/>
      <c r="B3069" s="593" t="s">
        <v>25</v>
      </c>
      <c r="C3069" s="577"/>
      <c r="D3069" s="578">
        <v>1</v>
      </c>
      <c r="E3069" s="579" t="s">
        <v>8</v>
      </c>
      <c r="F3069" s="569">
        <v>1</v>
      </c>
      <c r="G3069" s="717">
        <v>442</v>
      </c>
      <c r="H3069" s="718"/>
      <c r="I3069" s="598"/>
      <c r="J3069" s="598">
        <f t="shared" si="329"/>
        <v>442</v>
      </c>
      <c r="K3069" s="581"/>
    </row>
    <row r="3070" spans="1:11">
      <c r="A3070" s="568"/>
      <c r="B3070" s="629" t="s">
        <v>1264</v>
      </c>
      <c r="C3070" s="577"/>
      <c r="D3070" s="578">
        <v>1</v>
      </c>
      <c r="E3070" s="579" t="s">
        <v>8</v>
      </c>
      <c r="F3070" s="569">
        <v>1</v>
      </c>
      <c r="G3070" s="717">
        <v>10.7</v>
      </c>
      <c r="H3070" s="718"/>
      <c r="I3070" s="598"/>
      <c r="J3070" s="598">
        <f t="shared" si="329"/>
        <v>10.7</v>
      </c>
      <c r="K3070" s="581"/>
    </row>
    <row r="3071" spans="1:11">
      <c r="A3071" s="568"/>
      <c r="B3071" s="593" t="s">
        <v>1265</v>
      </c>
      <c r="C3071" s="577"/>
      <c r="D3071" s="578">
        <v>1</v>
      </c>
      <c r="E3071" s="579" t="s">
        <v>8</v>
      </c>
      <c r="F3071" s="569">
        <v>2</v>
      </c>
      <c r="G3071" s="717">
        <v>27.01</v>
      </c>
      <c r="H3071" s="718"/>
      <c r="I3071" s="598"/>
      <c r="J3071" s="598">
        <f t="shared" si="329"/>
        <v>54.02</v>
      </c>
      <c r="K3071" s="581"/>
    </row>
    <row r="3072" spans="1:11">
      <c r="A3072" s="568"/>
      <c r="B3072" s="593" t="s">
        <v>1296</v>
      </c>
      <c r="C3072" s="577"/>
      <c r="D3072" s="578">
        <v>1</v>
      </c>
      <c r="E3072" s="579" t="s">
        <v>8</v>
      </c>
      <c r="F3072" s="569">
        <v>1</v>
      </c>
      <c r="G3072" s="618">
        <v>5.3</v>
      </c>
      <c r="H3072" s="618">
        <v>5.27</v>
      </c>
      <c r="I3072" s="598"/>
      <c r="J3072" s="598">
        <f t="shared" si="329"/>
        <v>27.94</v>
      </c>
      <c r="K3072" s="581"/>
    </row>
    <row r="3073" spans="1:11">
      <c r="A3073" s="568"/>
      <c r="B3073" s="593" t="s">
        <v>1426</v>
      </c>
      <c r="C3073" s="577"/>
      <c r="G3073" s="650"/>
      <c r="H3073" s="618"/>
      <c r="I3073" s="598"/>
      <c r="J3073" s="598"/>
      <c r="K3073" s="581"/>
    </row>
    <row r="3074" spans="1:11">
      <c r="A3074" s="568"/>
      <c r="B3074" s="593" t="s">
        <v>123</v>
      </c>
      <c r="C3074" s="577"/>
      <c r="D3074" s="578">
        <v>1</v>
      </c>
      <c r="E3074" s="579" t="s">
        <v>8</v>
      </c>
      <c r="F3074" s="569">
        <v>1</v>
      </c>
      <c r="G3074" s="650">
        <f>((3.5+9.48+3.5+4)-0.9)*2</f>
        <v>39.160000000000004</v>
      </c>
      <c r="H3074" s="618"/>
      <c r="I3074" s="598">
        <v>0.1</v>
      </c>
      <c r="J3074" s="598">
        <f t="shared" si="329"/>
        <v>3.92</v>
      </c>
      <c r="K3074" s="581"/>
    </row>
    <row r="3075" spans="1:11">
      <c r="A3075" s="568"/>
      <c r="B3075" s="593" t="s">
        <v>25</v>
      </c>
      <c r="C3075" s="577"/>
      <c r="D3075" s="578">
        <v>1</v>
      </c>
      <c r="E3075" s="579" t="s">
        <v>8</v>
      </c>
      <c r="F3075" s="569">
        <v>1</v>
      </c>
      <c r="G3075" s="650">
        <v>153</v>
      </c>
      <c r="H3075" s="618"/>
      <c r="I3075" s="598">
        <v>0.1</v>
      </c>
      <c r="J3075" s="598">
        <f t="shared" si="329"/>
        <v>15.3</v>
      </c>
      <c r="K3075" s="581"/>
    </row>
    <row r="3076" spans="1:11">
      <c r="A3076" s="568"/>
      <c r="B3076" s="593" t="s">
        <v>1296</v>
      </c>
      <c r="C3076" s="577"/>
      <c r="D3076" s="578">
        <v>1</v>
      </c>
      <c r="E3076" s="579" t="s">
        <v>8</v>
      </c>
      <c r="F3076" s="569">
        <v>1</v>
      </c>
      <c r="G3076" s="650">
        <v>18</v>
      </c>
      <c r="H3076" s="618"/>
      <c r="I3076" s="598">
        <v>0.1</v>
      </c>
      <c r="J3076" s="598">
        <f t="shared" si="329"/>
        <v>1.8</v>
      </c>
      <c r="K3076" s="581"/>
    </row>
    <row r="3077" spans="1:11" ht="36">
      <c r="A3077" s="568"/>
      <c r="B3077" s="593" t="s">
        <v>1427</v>
      </c>
      <c r="C3077" s="577"/>
      <c r="D3077" s="578">
        <v>1</v>
      </c>
      <c r="E3077" s="579" t="s">
        <v>8</v>
      </c>
      <c r="F3077" s="569">
        <v>1</v>
      </c>
      <c r="G3077" s="650">
        <v>26.5</v>
      </c>
      <c r="H3077" s="618"/>
      <c r="I3077" s="598">
        <v>0.1</v>
      </c>
      <c r="J3077" s="598">
        <f t="shared" si="329"/>
        <v>2.65</v>
      </c>
      <c r="K3077" s="581"/>
    </row>
    <row r="3078" spans="1:11">
      <c r="A3078" s="568"/>
      <c r="B3078" s="593" t="s">
        <v>1265</v>
      </c>
      <c r="C3078" s="577"/>
      <c r="G3078" s="650">
        <v>20.5</v>
      </c>
      <c r="H3078" s="618"/>
      <c r="I3078" s="598">
        <v>0.1</v>
      </c>
      <c r="J3078" s="598">
        <f t="shared" si="329"/>
        <v>2.0499999999999998</v>
      </c>
      <c r="K3078" s="581"/>
    </row>
    <row r="3079" spans="1:11">
      <c r="A3079" s="568"/>
      <c r="B3079" s="593"/>
      <c r="C3079" s="577"/>
      <c r="G3079" s="650"/>
      <c r="H3079" s="618"/>
      <c r="I3079" s="598"/>
      <c r="J3079" s="614">
        <f>SUM(J3068:J3078)</f>
        <v>625.4799999999999</v>
      </c>
      <c r="K3079" s="581"/>
    </row>
    <row r="3080" spans="1:11">
      <c r="A3080" s="568"/>
      <c r="B3080" s="622" t="s">
        <v>28</v>
      </c>
      <c r="C3080" s="577"/>
      <c r="G3080" s="612"/>
      <c r="H3080" s="598"/>
      <c r="I3080" s="598"/>
      <c r="J3080" s="605">
        <f>ROUNDUP(J3079,0)</f>
        <v>626</v>
      </c>
      <c r="K3080" s="576" t="s">
        <v>9</v>
      </c>
    </row>
    <row r="3081" spans="1:11" ht="36">
      <c r="A3081" s="568"/>
      <c r="B3081" s="584" t="str">
        <f>'BOQ-C&amp;I'!C233</f>
        <v>MISCELLANEOUS WORKS</v>
      </c>
      <c r="C3081" s="577"/>
      <c r="G3081" s="612"/>
      <c r="H3081" s="598"/>
      <c r="I3081" s="598"/>
      <c r="J3081" s="598"/>
      <c r="K3081" s="581"/>
    </row>
    <row r="3082" spans="1:11" ht="111" customHeight="1">
      <c r="A3082" s="568">
        <f>A3066+1</f>
        <v>66</v>
      </c>
      <c r="B3082" s="712" t="str">
        <f>'BOQ-C&amp;I'!C234</f>
        <v>Supplying and fixing Poly-propylene rungs of 25 mm square bar of size 260 x 170 mm for access way including anchorage in walls to a minimum depth of 100 mm with C.C 1:2:4 (one cement, two fine aggregate and four coarse aggregate) etc. complete and as directed by the   departmental officers.( Duct ,Shafts &amp; UG sump, Over Head Tank and wherever necessary) Note: Rungs to be fixed before concreting and necessary provision to be made in the shuttering. etc complete, as directed by the   departmental officers.</v>
      </c>
      <c r="C3082" s="713"/>
      <c r="D3082" s="713"/>
      <c r="E3082" s="713"/>
      <c r="F3082" s="713"/>
      <c r="G3082" s="713"/>
      <c r="H3082" s="713"/>
      <c r="I3082" s="713"/>
      <c r="J3082" s="713"/>
      <c r="K3082" s="714"/>
    </row>
    <row r="3083" spans="1:11" ht="20.100000000000001" customHeight="1">
      <c r="A3083" s="568"/>
      <c r="B3083" s="577" t="s">
        <v>792</v>
      </c>
      <c r="C3083" s="689"/>
      <c r="D3083" s="578">
        <v>3</v>
      </c>
      <c r="E3083" s="579" t="s">
        <v>8</v>
      </c>
      <c r="F3083" s="569">
        <v>12</v>
      </c>
      <c r="G3083" s="612"/>
      <c r="H3083" s="598"/>
      <c r="I3083" s="598"/>
      <c r="J3083" s="598">
        <f t="shared" ref="J3083:J3084" si="330">ROUNDUP(PRODUCT(D3083:I3083),2)</f>
        <v>36</v>
      </c>
      <c r="K3083" s="576"/>
    </row>
    <row r="3084" spans="1:11" ht="20.100000000000001" customHeight="1">
      <c r="A3084" s="568"/>
      <c r="B3084" s="577" t="s">
        <v>1298</v>
      </c>
      <c r="C3084" s="689"/>
      <c r="D3084" s="578">
        <v>2</v>
      </c>
      <c r="E3084" s="579" t="s">
        <v>8</v>
      </c>
      <c r="F3084" s="569">
        <v>9</v>
      </c>
      <c r="G3084" s="612"/>
      <c r="H3084" s="598"/>
      <c r="I3084" s="598"/>
      <c r="J3084" s="598">
        <f t="shared" si="330"/>
        <v>18</v>
      </c>
      <c r="K3084" s="576"/>
    </row>
    <row r="3085" spans="1:11" ht="20.100000000000001" customHeight="1">
      <c r="A3085" s="568"/>
      <c r="B3085" s="577"/>
      <c r="C3085" s="689"/>
      <c r="D3085" s="689"/>
      <c r="E3085" s="689"/>
      <c r="G3085" s="612"/>
      <c r="H3085" s="598"/>
      <c r="I3085" s="598"/>
      <c r="J3085" s="614">
        <f>SUM(J3083:J3084)</f>
        <v>54</v>
      </c>
      <c r="K3085" s="576"/>
    </row>
    <row r="3086" spans="1:11">
      <c r="A3086" s="568"/>
      <c r="B3086" s="622" t="s">
        <v>28</v>
      </c>
      <c r="C3086" s="577"/>
      <c r="G3086" s="612"/>
      <c r="H3086" s="598"/>
      <c r="I3086" s="598"/>
      <c r="J3086" s="605">
        <f>ROUNDUP(J3085,0)</f>
        <v>54</v>
      </c>
      <c r="K3086" s="576" t="s">
        <v>51</v>
      </c>
    </row>
    <row r="3087" spans="1:11" ht="105" customHeight="1">
      <c r="A3087" s="568">
        <f>A3082+1</f>
        <v>67</v>
      </c>
      <c r="B3087" s="723" t="str">
        <f>'BOQ-C&amp;I'!C235</f>
        <v>Supplying and fixing Ductile Iron manhole cover with frame as per approved make ,cover weight and being size mentioned below and specified size in the drawing etc., including painting with two coats of anticorrosive paint over a coat of primer etc., fixing locking arrangements, fixing Man-hole over, grouting the anchors with CC 1:2:4 (one cement, two fine aggregate and four coarse aggregate), as complete in all respects complying with relevant standard specifications and as directed by the   departmental officers.</v>
      </c>
      <c r="C3087" s="723"/>
      <c r="D3087" s="723"/>
      <c r="E3087" s="723"/>
      <c r="F3087" s="723"/>
      <c r="G3087" s="723"/>
      <c r="H3087" s="723"/>
      <c r="I3087" s="723"/>
      <c r="J3087" s="723"/>
      <c r="K3087" s="723"/>
    </row>
    <row r="3088" spans="1:11" ht="18" customHeight="1">
      <c r="A3088" s="568"/>
      <c r="B3088" s="577" t="s">
        <v>792</v>
      </c>
      <c r="C3088" s="689"/>
      <c r="D3088" s="578">
        <v>3</v>
      </c>
      <c r="E3088" s="579" t="s">
        <v>8</v>
      </c>
      <c r="F3088" s="569">
        <v>2</v>
      </c>
      <c r="G3088" s="612"/>
      <c r="H3088" s="598"/>
      <c r="I3088" s="598"/>
      <c r="J3088" s="598">
        <f t="shared" ref="J3088:J3089" si="331">ROUNDUP(PRODUCT(D3088:I3088),2)</f>
        <v>6</v>
      </c>
      <c r="K3088" s="576"/>
    </row>
    <row r="3089" spans="1:11">
      <c r="A3089" s="568"/>
      <c r="B3089" s="577" t="s">
        <v>1298</v>
      </c>
      <c r="C3089" s="689"/>
      <c r="D3089" s="578">
        <v>1</v>
      </c>
      <c r="E3089" s="579" t="s">
        <v>8</v>
      </c>
      <c r="F3089" s="569">
        <v>2</v>
      </c>
      <c r="G3089" s="612"/>
      <c r="H3089" s="598"/>
      <c r="I3089" s="598"/>
      <c r="J3089" s="598">
        <f t="shared" si="331"/>
        <v>2</v>
      </c>
      <c r="K3089" s="576"/>
    </row>
    <row r="3090" spans="1:11" ht="20.100000000000001" customHeight="1">
      <c r="A3090" s="568"/>
      <c r="B3090" s="577" t="s">
        <v>1299</v>
      </c>
      <c r="C3090" s="689"/>
      <c r="D3090" s="578">
        <v>1</v>
      </c>
      <c r="E3090" s="579" t="s">
        <v>8</v>
      </c>
      <c r="F3090" s="569">
        <v>2</v>
      </c>
      <c r="G3090" s="612"/>
      <c r="H3090" s="598"/>
      <c r="I3090" s="598"/>
      <c r="J3090" s="598">
        <f>ROUNDUP(PRODUCT(D3090:I3090),2)</f>
        <v>2</v>
      </c>
      <c r="K3090" s="576"/>
    </row>
    <row r="3091" spans="1:11">
      <c r="A3091" s="568"/>
      <c r="B3091" s="577"/>
      <c r="C3091" s="689"/>
      <c r="D3091" s="689"/>
      <c r="E3091" s="689"/>
      <c r="G3091" s="612"/>
      <c r="H3091" s="598"/>
      <c r="I3091" s="598"/>
      <c r="J3091" s="614">
        <f>SUM(J3088:J3090)</f>
        <v>10</v>
      </c>
      <c r="K3091" s="576"/>
    </row>
    <row r="3092" spans="1:11">
      <c r="A3092" s="568"/>
      <c r="B3092" s="622" t="s">
        <v>28</v>
      </c>
      <c r="C3092" s="577"/>
      <c r="G3092" s="612"/>
      <c r="H3092" s="598"/>
      <c r="I3092" s="598"/>
      <c r="J3092" s="605">
        <f>ROUNDUP(J3091,0)</f>
        <v>10</v>
      </c>
      <c r="K3092" s="576" t="s">
        <v>51</v>
      </c>
    </row>
    <row r="3093" spans="1:11" ht="76.150000000000006" customHeight="1">
      <c r="A3093" s="568">
        <f>A3087+1</f>
        <v>68</v>
      </c>
      <c r="B3093" s="723" t="str">
        <f>'BOQ-C&amp;I'!C237</f>
        <v>Providing and laying in position the RCC  humepipes(NP3) of approved quality and make including collars,. necessary Excavation, PCC 1:2:4 supports, Sand cushion of 150mm on all sides, Refilling with earth, Compaction and making good the level, alignment etc., complete as directed by the   departmental officers.</v>
      </c>
      <c r="C3093" s="723"/>
      <c r="D3093" s="723"/>
      <c r="E3093" s="723"/>
      <c r="F3093" s="723"/>
      <c r="G3093" s="723"/>
      <c r="H3093" s="723"/>
      <c r="I3093" s="723"/>
      <c r="J3093" s="723"/>
      <c r="K3093" s="723"/>
    </row>
    <row r="3094" spans="1:11">
      <c r="A3094" s="568"/>
      <c r="B3094" s="593" t="s">
        <v>510</v>
      </c>
      <c r="C3094" s="577"/>
      <c r="G3094" s="612"/>
      <c r="H3094" s="598"/>
      <c r="I3094" s="598"/>
      <c r="J3094" s="614">
        <v>10</v>
      </c>
      <c r="K3094" s="576" t="s">
        <v>33</v>
      </c>
    </row>
    <row r="3095" spans="1:11" ht="85.5" customHeight="1">
      <c r="A3095" s="568">
        <f>A3093+1</f>
        <v>69</v>
      </c>
      <c r="B3095" s="723" t="str">
        <f>'BOQ-C&amp;I'!C239</f>
        <v xml:space="preserve">Special Type Mirror of size 1000 x 780mm Rate to including all materials, labour charges, transportation, lead &amp; Lifts, wastage,  etc. as complete with all respects complying with relevant standard specification, as directed by the departmental officers. </v>
      </c>
      <c r="C3095" s="723"/>
      <c r="D3095" s="723"/>
      <c r="E3095" s="723"/>
      <c r="F3095" s="723"/>
      <c r="G3095" s="723"/>
      <c r="H3095" s="723"/>
      <c r="I3095" s="723"/>
      <c r="J3095" s="723"/>
      <c r="K3095" s="723"/>
    </row>
    <row r="3096" spans="1:11">
      <c r="A3096" s="568"/>
      <c r="B3096" s="584" t="s">
        <v>13</v>
      </c>
      <c r="C3096" s="577"/>
      <c r="G3096" s="612"/>
      <c r="H3096" s="598"/>
      <c r="I3096" s="598"/>
      <c r="J3096" s="598"/>
      <c r="K3096" s="581"/>
    </row>
    <row r="3097" spans="1:11">
      <c r="A3097" s="568"/>
      <c r="B3097" s="593" t="s">
        <v>536</v>
      </c>
      <c r="C3097" s="577"/>
      <c r="D3097" s="578">
        <v>1</v>
      </c>
      <c r="E3097" s="579" t="s">
        <v>8</v>
      </c>
      <c r="F3097" s="569">
        <v>10</v>
      </c>
      <c r="G3097" s="612"/>
      <c r="H3097" s="598"/>
      <c r="I3097" s="598"/>
      <c r="J3097" s="598">
        <f t="shared" ref="J3097:J3098" si="332">ROUNDUP(PRODUCT(D3097:I3097),2)</f>
        <v>10</v>
      </c>
      <c r="K3097" s="581"/>
    </row>
    <row r="3098" spans="1:11">
      <c r="A3098" s="568"/>
      <c r="B3098" s="593" t="s">
        <v>1267</v>
      </c>
      <c r="C3098" s="577"/>
      <c r="D3098" s="578">
        <v>3</v>
      </c>
      <c r="E3098" s="579" t="s">
        <v>8</v>
      </c>
      <c r="F3098" s="569">
        <v>8</v>
      </c>
      <c r="G3098" s="612"/>
      <c r="H3098" s="598"/>
      <c r="I3098" s="598"/>
      <c r="J3098" s="598">
        <f t="shared" si="332"/>
        <v>24</v>
      </c>
      <c r="K3098" s="581"/>
    </row>
    <row r="3099" spans="1:11">
      <c r="A3099" s="568"/>
      <c r="B3099" s="593"/>
      <c r="C3099" s="577"/>
      <c r="G3099" s="612"/>
      <c r="H3099" s="598"/>
      <c r="I3099" s="598"/>
      <c r="J3099" s="614">
        <f>SUM(J3097:J3098)</f>
        <v>34</v>
      </c>
      <c r="K3099" s="581"/>
    </row>
    <row r="3100" spans="1:11">
      <c r="A3100" s="568"/>
      <c r="B3100" s="622" t="s">
        <v>28</v>
      </c>
      <c r="C3100" s="577"/>
      <c r="G3100" s="612"/>
      <c r="H3100" s="598"/>
      <c r="I3100" s="598"/>
      <c r="J3100" s="605">
        <f>ROUNDUP(J3099,0)</f>
        <v>34</v>
      </c>
      <c r="K3100" s="576" t="s">
        <v>51</v>
      </c>
    </row>
    <row r="3101" spans="1:11" ht="170.45" customHeight="1">
      <c r="A3101" s="568">
        <f>A3095+1</f>
        <v>70</v>
      </c>
      <c r="B3101" s="723" t="str">
        <f>'BOQ-C&amp;I'!C240</f>
        <v>STRUCTURAL STEEL WORKS:Supplying fabricating, hoisting, erecting and fixing in position Mild steel structural steel works Gate for compound wall and grill at all elevations, levels and heights including aligning, levelling, providing and fixing bolts, nuts, washers, comprising MS plates, flats, squares etc., of various sizes and other structural steel sections conforming to latest IS2062 Grade - A&amp;B including straightening, cutting, welding, bending to shape, bolting and inclusive of the following finishes. Rate to including all materials, labour changes, scaffolding, stagging,  transportation, lead &amp; Lifts, wastage, etc. as complete with all respects complying with relevant standard specification, as directed by the   departmental officers.</v>
      </c>
      <c r="C3101" s="723"/>
      <c r="D3101" s="723"/>
      <c r="E3101" s="723"/>
      <c r="F3101" s="723"/>
      <c r="G3101" s="723"/>
      <c r="H3101" s="723"/>
      <c r="I3101" s="723"/>
      <c r="J3101" s="723"/>
      <c r="K3101" s="723"/>
    </row>
    <row r="3102" spans="1:11" ht="134.44999999999999" customHeight="1">
      <c r="A3102" s="582"/>
      <c r="B3102" s="723" t="str">
        <f>'BOQ-C&amp;I'!C241</f>
        <v>Surface preparation of all MS members by Sand blasting to SA 21/2 grade and painted with anti corrosive, PU paint (metallic finish) with compatible primer to a minimum film thickness of 75 microns and 2 coats of PU paint of and total dry film thickness 225 microns. The rate to include the cost of all materials, labour, tools, tackle and plants, wastage etc., as per specification and drawings complete. The rate quoted is to include cost of bolts, nuts, washers, welding, electrodes and connections required for the work. No extra on this account will be paid for. The rate to include preparation of fabrication shop drawings for owner's approval.</v>
      </c>
      <c r="C3102" s="723"/>
      <c r="D3102" s="723"/>
      <c r="E3102" s="723"/>
      <c r="F3102" s="723"/>
      <c r="G3102" s="723"/>
      <c r="H3102" s="723"/>
      <c r="I3102" s="723"/>
      <c r="J3102" s="723"/>
      <c r="K3102" s="723"/>
    </row>
    <row r="3103" spans="1:11">
      <c r="A3103" s="568"/>
      <c r="B3103" s="584" t="s">
        <v>1300</v>
      </c>
      <c r="C3103" s="655"/>
      <c r="G3103" s="650" t="s">
        <v>1291</v>
      </c>
      <c r="H3103" s="618"/>
      <c r="I3103" s="618" t="s">
        <v>1301</v>
      </c>
      <c r="J3103" s="618"/>
      <c r="K3103" s="568"/>
    </row>
    <row r="3104" spans="1:11" ht="36">
      <c r="A3104" s="568"/>
      <c r="B3104" s="593" t="s">
        <v>1302</v>
      </c>
      <c r="C3104" s="577"/>
      <c r="D3104" s="578">
        <v>2</v>
      </c>
      <c r="E3104" s="579" t="s">
        <v>8</v>
      </c>
      <c r="F3104" s="569">
        <v>4</v>
      </c>
      <c r="G3104" s="612">
        <v>2.35</v>
      </c>
      <c r="H3104" s="598"/>
      <c r="I3104" s="598">
        <v>6.6</v>
      </c>
      <c r="J3104" s="598">
        <f t="shared" ref="J3104:J3105" si="333">ROUNDUP(PRODUCT(D3104:I3104),2)</f>
        <v>124.08</v>
      </c>
      <c r="K3104" s="581"/>
    </row>
    <row r="3105" spans="1:11" ht="36">
      <c r="A3105" s="568"/>
      <c r="B3105" s="593" t="s">
        <v>1302</v>
      </c>
      <c r="C3105" s="577"/>
      <c r="D3105" s="578">
        <v>2</v>
      </c>
      <c r="E3105" s="579" t="s">
        <v>8</v>
      </c>
      <c r="F3105" s="569">
        <v>2</v>
      </c>
      <c r="G3105" s="612">
        <v>3.9</v>
      </c>
      <c r="H3105" s="598"/>
      <c r="I3105" s="598">
        <v>6.6</v>
      </c>
      <c r="J3105" s="598">
        <f t="shared" si="333"/>
        <v>102.96</v>
      </c>
      <c r="K3105" s="581"/>
    </row>
    <row r="3106" spans="1:11">
      <c r="A3106" s="568"/>
      <c r="B3106" s="593" t="s">
        <v>1303</v>
      </c>
      <c r="C3106" s="577"/>
      <c r="D3106" s="578">
        <v>2</v>
      </c>
      <c r="E3106" s="579" t="s">
        <v>8</v>
      </c>
      <c r="F3106" s="569">
        <f>21*2</f>
        <v>42</v>
      </c>
      <c r="G3106" s="612">
        <v>3.7</v>
      </c>
      <c r="H3106" s="598"/>
      <c r="I3106" s="598">
        <v>2.1800000000000002</v>
      </c>
      <c r="J3106" s="598">
        <f t="shared" ref="J3106:J3107" si="334">ROUNDUP(PRODUCT(D3106:I3106),2)</f>
        <v>677.55</v>
      </c>
      <c r="K3106" s="581"/>
    </row>
    <row r="3107" spans="1:11">
      <c r="A3107" s="568"/>
      <c r="B3107" s="593" t="s">
        <v>1304</v>
      </c>
      <c r="C3107" s="577"/>
      <c r="D3107" s="578">
        <v>2</v>
      </c>
      <c r="E3107" s="579" t="s">
        <v>8</v>
      </c>
      <c r="F3107" s="569">
        <v>4</v>
      </c>
      <c r="G3107" s="612">
        <v>0.2</v>
      </c>
      <c r="H3107" s="598">
        <v>0.2</v>
      </c>
      <c r="I3107" s="598">
        <f>10*7.85</f>
        <v>78.5</v>
      </c>
      <c r="J3107" s="598">
        <f t="shared" si="334"/>
        <v>25.12</v>
      </c>
      <c r="K3107" s="581"/>
    </row>
    <row r="3108" spans="1:11">
      <c r="A3108" s="568"/>
      <c r="B3108" s="593"/>
      <c r="C3108" s="577"/>
      <c r="G3108" s="612"/>
      <c r="H3108" s="598"/>
      <c r="I3108" s="598"/>
      <c r="J3108" s="605">
        <f>SUM(J3104:J3107)</f>
        <v>929.70999999999992</v>
      </c>
      <c r="K3108" s="581"/>
    </row>
    <row r="3109" spans="1:11">
      <c r="A3109" s="568"/>
      <c r="B3109" s="622" t="s">
        <v>28</v>
      </c>
      <c r="C3109" s="577"/>
      <c r="G3109" s="612"/>
      <c r="H3109" s="598"/>
      <c r="I3109" s="598"/>
      <c r="J3109" s="605">
        <f>ROUNDUP(J3108,0)</f>
        <v>930</v>
      </c>
      <c r="K3109" s="576" t="s">
        <v>471</v>
      </c>
    </row>
    <row r="3110" spans="1:11" ht="124.5" customHeight="1">
      <c r="A3110" s="568">
        <f>+A3101+1</f>
        <v>71</v>
      </c>
      <c r="B3110" s="723" t="str">
        <f>'BOQ-C&amp;I'!C243</f>
        <v>Designing, Providing and fixing in position Hot rolled structural steel Members / Sections consists of MS joists, channels, angles, purlins, pipes, hollow tubes, runners, insert plates, flats etc. at all levels. Surface preparation of all MS members by Sand blasting to SA 21/2 grade and painted with anti corrosive, PU paint (metallic finish) with compatible primer to a minimum film thickness of 75 microns and 2 coats of PU paint of and total dry film thickness 225 microns. Rate to including all materials, labour charges, scaffolding, stagging,  transportation, lead &amp; Lifts, wastage, cost of bolts, nuts, washers, welding, electrodes and connections required for the work. No extra on this account will be paid for, and the rate to include preparation of fabrication shop drawings for client's approval.  etc., as complete with all respects complying with relevant standard specification, as directed by the   departmental officers.</v>
      </c>
      <c r="C3110" s="723"/>
      <c r="D3110" s="723"/>
      <c r="E3110" s="723"/>
      <c r="F3110" s="723"/>
      <c r="G3110" s="723"/>
      <c r="H3110" s="723"/>
      <c r="I3110" s="723"/>
      <c r="J3110" s="723"/>
      <c r="K3110" s="723"/>
    </row>
    <row r="3111" spans="1:11">
      <c r="A3111" s="568"/>
      <c r="B3111" s="593" t="s">
        <v>510</v>
      </c>
      <c r="C3111" s="577"/>
      <c r="D3111" s="578">
        <v>1</v>
      </c>
      <c r="E3111" s="579" t="s">
        <v>8</v>
      </c>
      <c r="F3111" s="569">
        <v>1</v>
      </c>
      <c r="G3111" s="717">
        <v>50</v>
      </c>
      <c r="H3111" s="718"/>
      <c r="I3111" s="598"/>
      <c r="J3111" s="614">
        <f>ROUNDUP(PRODUCT(D3111:I3111),2)</f>
        <v>50</v>
      </c>
      <c r="K3111" s="576" t="s">
        <v>1305</v>
      </c>
    </row>
    <row r="3112" spans="1:11" ht="198.6" customHeight="1">
      <c r="A3112" s="568">
        <f>A3110+1</f>
        <v>72</v>
      </c>
      <c r="B3112" s="723" t="str">
        <f>'BOQ-C&amp;I'!C244</f>
        <v xml:space="preserve">Supplying, fabricating and placing in position M.S. chequered plate of required thickness of 5 mm for machine floors and shafts closing at all floors at all levels with necessary supports such as M.S. angles/M.S. flats including stiffeners to be placed on angle iron frame work. (Frame work, angles, stiffeners will be measured under relevant structural steel item). Rate shall include making necessary cutouts for inserts, All MS members shall be painted with 2 Coats (each coat of 25 microns DFT) of red oxide zinc phosphate primer and 2 Coats (each coat of 35 microns DFT) of synthetic enamel paint of approved colour and make etc,.Rate including all materials, labour charges, wastages, necessary lead and lifts, transportation charges, loading, unloading, scaffolding, staging, straightening, cutting, fabricating, welding, bending to shape bolting, installation charges, fuel, consumables as complete with all respects complying with relevant standard specification and as directed by the departmental officers. </v>
      </c>
      <c r="C3112" s="723"/>
      <c r="D3112" s="723"/>
      <c r="E3112" s="723"/>
      <c r="F3112" s="723"/>
      <c r="G3112" s="723"/>
      <c r="H3112" s="723"/>
      <c r="I3112" s="723"/>
      <c r="J3112" s="723"/>
      <c r="K3112" s="723"/>
    </row>
    <row r="3113" spans="1:11">
      <c r="A3113" s="568"/>
      <c r="B3113" s="588" t="s">
        <v>1306</v>
      </c>
      <c r="C3113" s="585"/>
      <c r="G3113" s="612"/>
      <c r="H3113" s="598"/>
      <c r="I3113" s="618" t="s">
        <v>1301</v>
      </c>
      <c r="J3113" s="598"/>
      <c r="K3113" s="588"/>
    </row>
    <row r="3114" spans="1:11">
      <c r="A3114" s="568"/>
      <c r="B3114" s="588" t="s">
        <v>1307</v>
      </c>
      <c r="C3114" s="585"/>
      <c r="D3114" s="578">
        <v>1</v>
      </c>
      <c r="E3114" s="579" t="s">
        <v>8</v>
      </c>
      <c r="F3114" s="569">
        <v>2</v>
      </c>
      <c r="G3114" s="612">
        <f>3.2+1.1+3.2+1.1</f>
        <v>8.6000000000000014</v>
      </c>
      <c r="H3114" s="598"/>
      <c r="I3114" s="598">
        <v>4.3099999999999996</v>
      </c>
      <c r="J3114" s="598">
        <f t="shared" ref="J3114:J3115" si="335">ROUNDUP(PRODUCT(D3114:I3114),2)</f>
        <v>74.14</v>
      </c>
      <c r="K3114" s="588"/>
    </row>
    <row r="3115" spans="1:11">
      <c r="A3115" s="568"/>
      <c r="B3115" s="588" t="s">
        <v>1307</v>
      </c>
      <c r="C3115" s="585"/>
      <c r="D3115" s="578">
        <v>1</v>
      </c>
      <c r="E3115" s="579" t="s">
        <v>8</v>
      </c>
      <c r="F3115" s="569">
        <v>1</v>
      </c>
      <c r="G3115" s="612">
        <f>1.7+0.7+1.7+0.9</f>
        <v>5</v>
      </c>
      <c r="H3115" s="598"/>
      <c r="I3115" s="598">
        <v>4.3099999999999996</v>
      </c>
      <c r="J3115" s="598">
        <f t="shared" si="335"/>
        <v>21.55</v>
      </c>
      <c r="K3115" s="588"/>
    </row>
    <row r="3116" spans="1:11">
      <c r="A3116" s="568"/>
      <c r="B3116" s="588" t="s">
        <v>1307</v>
      </c>
      <c r="C3116" s="585"/>
      <c r="D3116" s="578">
        <v>1</v>
      </c>
      <c r="E3116" s="579" t="s">
        <v>8</v>
      </c>
      <c r="F3116" s="569">
        <v>1</v>
      </c>
      <c r="G3116" s="612">
        <f>1.43+0.9+1.43+0.9</f>
        <v>4.66</v>
      </c>
      <c r="H3116" s="598"/>
      <c r="I3116" s="598">
        <v>4.3099999999999996</v>
      </c>
      <c r="J3116" s="598">
        <f t="shared" ref="J3116" si="336">ROUNDUP(PRODUCT(D3116:I3116),2)</f>
        <v>20.09</v>
      </c>
      <c r="K3116" s="588"/>
    </row>
    <row r="3117" spans="1:11">
      <c r="A3117" s="568"/>
      <c r="B3117" s="588"/>
      <c r="C3117" s="585"/>
      <c r="G3117" s="612"/>
      <c r="H3117" s="598"/>
      <c r="I3117" s="618" t="s">
        <v>1582</v>
      </c>
      <c r="J3117" s="598"/>
      <c r="K3117" s="588"/>
    </row>
    <row r="3118" spans="1:11">
      <c r="A3118" s="568"/>
      <c r="B3118" s="588" t="s">
        <v>1583</v>
      </c>
      <c r="C3118" s="585"/>
      <c r="D3118" s="578">
        <v>1</v>
      </c>
      <c r="E3118" s="579" t="s">
        <v>8</v>
      </c>
      <c r="F3118" s="569">
        <v>2</v>
      </c>
      <c r="G3118" s="612">
        <v>3.2</v>
      </c>
      <c r="H3118" s="598">
        <v>1.1000000000000001</v>
      </c>
      <c r="I3118" s="598">
        <v>24</v>
      </c>
      <c r="J3118" s="598">
        <f t="shared" ref="J3118:J3120" si="337">ROUNDUP(PRODUCT(D3118:I3118),2)</f>
        <v>168.96</v>
      </c>
      <c r="K3118" s="588"/>
    </row>
    <row r="3119" spans="1:11">
      <c r="A3119" s="568"/>
      <c r="B3119" s="588" t="s">
        <v>1583</v>
      </c>
      <c r="C3119" s="585"/>
      <c r="D3119" s="578">
        <v>1</v>
      </c>
      <c r="E3119" s="579" t="s">
        <v>8</v>
      </c>
      <c r="F3119" s="569">
        <v>1</v>
      </c>
      <c r="G3119" s="612">
        <v>1.7</v>
      </c>
      <c r="H3119" s="598">
        <v>0.7</v>
      </c>
      <c r="I3119" s="598">
        <v>24</v>
      </c>
      <c r="J3119" s="598">
        <f t="shared" si="337"/>
        <v>28.56</v>
      </c>
      <c r="K3119" s="576"/>
    </row>
    <row r="3120" spans="1:11">
      <c r="A3120" s="568"/>
      <c r="B3120" s="588" t="s">
        <v>1583</v>
      </c>
      <c r="C3120" s="585"/>
      <c r="D3120" s="578">
        <v>1</v>
      </c>
      <c r="E3120" s="579" t="s">
        <v>8</v>
      </c>
      <c r="F3120" s="569">
        <v>1</v>
      </c>
      <c r="G3120" s="612">
        <v>1.43</v>
      </c>
      <c r="H3120" s="598">
        <v>0.9</v>
      </c>
      <c r="I3120" s="598">
        <v>24</v>
      </c>
      <c r="J3120" s="598">
        <f t="shared" si="337"/>
        <v>30.89</v>
      </c>
      <c r="K3120" s="576"/>
    </row>
    <row r="3121" spans="1:11">
      <c r="A3121" s="568"/>
      <c r="B3121" s="588"/>
      <c r="C3121" s="585"/>
      <c r="G3121" s="612"/>
      <c r="H3121" s="598"/>
      <c r="I3121" s="598"/>
      <c r="J3121" s="605">
        <f>SUM(J3114:J3120)</f>
        <v>344.19</v>
      </c>
      <c r="K3121" s="576"/>
    </row>
    <row r="3122" spans="1:11">
      <c r="A3122" s="568"/>
      <c r="B3122" s="622" t="s">
        <v>28</v>
      </c>
      <c r="C3122" s="577"/>
      <c r="G3122" s="612"/>
      <c r="H3122" s="598"/>
      <c r="I3122" s="598"/>
      <c r="J3122" s="605">
        <f>ROUNDUP(J3121,0)</f>
        <v>345</v>
      </c>
      <c r="K3122" s="576" t="s">
        <v>471</v>
      </c>
    </row>
    <row r="3123" spans="1:11" ht="91.9" customHeight="1">
      <c r="A3123" s="568">
        <f>A3112+1</f>
        <v>73</v>
      </c>
      <c r="B3123" s="723" t="str">
        <f>'BOQ-C&amp;I'!C245</f>
        <v xml:space="preserve">Supplying and filling 40 mm and down aggregate filling under drains. Rate to include shuttering, including all materials, labour charges, transportation, lead &amp; Lifts, curing, with necessary excavation and back filling complete etc. as complete with all respects complying with relevant standard specification, as directed by the departmental officers. </v>
      </c>
      <c r="C3123" s="723"/>
      <c r="D3123" s="723"/>
      <c r="E3123" s="723"/>
      <c r="F3123" s="723"/>
      <c r="G3123" s="723"/>
      <c r="H3123" s="723"/>
      <c r="I3123" s="723"/>
      <c r="J3123" s="723"/>
      <c r="K3123" s="723"/>
    </row>
    <row r="3124" spans="1:11">
      <c r="A3124" s="568"/>
      <c r="B3124" s="593" t="s">
        <v>510</v>
      </c>
      <c r="C3124" s="577"/>
      <c r="D3124" s="578">
        <v>1</v>
      </c>
      <c r="E3124" s="579" t="s">
        <v>8</v>
      </c>
      <c r="F3124" s="569">
        <v>1</v>
      </c>
      <c r="G3124" s="717">
        <v>10</v>
      </c>
      <c r="H3124" s="718"/>
      <c r="I3124" s="598"/>
      <c r="J3124" s="614">
        <f>ROUNDUP(PRODUCT(D3124:I3124),2)</f>
        <v>10</v>
      </c>
      <c r="K3124" s="576" t="s">
        <v>52</v>
      </c>
    </row>
    <row r="3125" spans="1:11">
      <c r="A3125" s="568"/>
      <c r="B3125" s="576" t="str">
        <f>'BOQ-C&amp;I'!C247</f>
        <v>Partition &amp; Panelling Works</v>
      </c>
      <c r="C3125" s="577"/>
      <c r="G3125" s="612"/>
      <c r="H3125" s="598"/>
      <c r="I3125" s="598"/>
      <c r="J3125" s="598"/>
      <c r="K3125" s="581"/>
    </row>
    <row r="3126" spans="1:11">
      <c r="A3126" s="568">
        <f>A3123+1</f>
        <v>74</v>
      </c>
      <c r="B3126" s="723" t="str">
        <f>'BOQ-C&amp;I'!C248</f>
        <v>ALUMINIUM GLAZED STILE DOOR WITH ALTERRALITE SYSTEM-100 FRAME PROFILES</v>
      </c>
      <c r="C3126" s="723"/>
      <c r="D3126" s="723"/>
      <c r="E3126" s="723"/>
      <c r="F3126" s="723"/>
      <c r="G3126" s="723"/>
      <c r="H3126" s="723"/>
      <c r="I3126" s="723"/>
      <c r="J3126" s="723"/>
      <c r="K3126" s="723"/>
    </row>
    <row r="3127" spans="1:11" ht="246.75" customHeight="1">
      <c r="A3127" s="568" t="s">
        <v>71</v>
      </c>
      <c r="B3127" s="723" t="str">
        <f>'BOQ-C&amp;I'!C249</f>
        <v>Supply &amp; Fixing of Aluminium Glazed Door Single Leaf with Glass infill of 12mm thk toughened glass with Dormakaba Alterra lite System-100mm frames Stiles all around the door. Aluminium Stile to be formed out of 100x45mm of Alterra STP100 Door Profile frame with clips &amp; seals. For doors part of single/double glazed partiton DP100-SG/DG Door rebate profile to be used.In case of Glass overall panel Alterra lite OHPDP100-SD/DG Over Panel Door profile to be used.The Alterra lite profiles shall be suitable for Glass thickness of 12mm. The Profile shall be matt natural anodized, the Profile Manufacturer to supply all the necessary clips, seals and fixing accessories for the system. All Profiles to be with 2 mm Gauge thickness Excluding 20 Micron of Anodizing.Approved Manufacturer: Profiles/Frames: Dormakaba, Glass : Saint Giobain/AsahiWidth 1000mm x Height 2400mm.                     NOTE: Hardware will be measured seperately and paid under relevant BOQ items.</v>
      </c>
      <c r="C3127" s="723"/>
      <c r="D3127" s="723"/>
      <c r="E3127" s="723"/>
      <c r="F3127" s="723"/>
      <c r="G3127" s="723"/>
      <c r="H3127" s="723"/>
      <c r="I3127" s="723"/>
      <c r="J3127" s="723"/>
      <c r="K3127" s="723"/>
    </row>
    <row r="3128" spans="1:11">
      <c r="A3128" s="568"/>
      <c r="B3128" s="593" t="s">
        <v>622</v>
      </c>
      <c r="C3128" s="577"/>
      <c r="D3128" s="578">
        <v>1</v>
      </c>
      <c r="E3128" s="579" t="s">
        <v>8</v>
      </c>
      <c r="F3128" s="569">
        <v>2</v>
      </c>
      <c r="G3128" s="612"/>
      <c r="H3128" s="598"/>
      <c r="I3128" s="598"/>
      <c r="J3128" s="598">
        <f>ROUNDUP(PRODUCT(D3128:I3128),2)</f>
        <v>2</v>
      </c>
      <c r="K3128" s="581"/>
    </row>
    <row r="3129" spans="1:11">
      <c r="A3129" s="568"/>
      <c r="B3129" s="593"/>
      <c r="C3129" s="577"/>
      <c r="G3129" s="612"/>
      <c r="H3129" s="598"/>
      <c r="I3129" s="598"/>
      <c r="J3129" s="614">
        <f>SUM(J3128)</f>
        <v>2</v>
      </c>
      <c r="K3129" s="581"/>
    </row>
    <row r="3130" spans="1:11">
      <c r="A3130" s="568"/>
      <c r="B3130" s="622" t="s">
        <v>28</v>
      </c>
      <c r="C3130" s="577"/>
      <c r="G3130" s="612"/>
      <c r="H3130" s="598"/>
      <c r="I3130" s="598"/>
      <c r="J3130" s="605">
        <f>ROUNDUP(J3129,0)</f>
        <v>2</v>
      </c>
      <c r="K3130" s="576" t="s">
        <v>51</v>
      </c>
    </row>
    <row r="3131" spans="1:11" ht="65.25" customHeight="1">
      <c r="A3131" s="568"/>
      <c r="B3131" s="723" t="str">
        <f>'BOQ-C&amp;I'!C250</f>
        <v>SINGLE GLAZED TOUGHENED GLASS PARTITIONS - WITH ALTERRALITE SYSTEM-100 FRAME PROFILES</v>
      </c>
      <c r="C3131" s="723"/>
      <c r="D3131" s="723"/>
      <c r="E3131" s="723"/>
      <c r="F3131" s="723"/>
      <c r="G3131" s="723"/>
      <c r="H3131" s="723"/>
      <c r="I3131" s="723"/>
      <c r="J3131" s="723"/>
      <c r="K3131" s="723"/>
    </row>
    <row r="3132" spans="1:11" ht="279.75" customHeight="1">
      <c r="A3132" s="568" t="s">
        <v>70</v>
      </c>
      <c r="B3132" s="723" t="str">
        <f>'BOQ-C&amp;I'!C251</f>
        <v>Supply &amp; Fixing of Aluminium Glazed Door Single Leaf with Glass infill of 12mm thk toughened glass with Dormakaba Alterra lite System-100mm frames Stiles all around the door. Aluminium Stile to be formed out of 100x45mm of Alterra STP100 Door Profile frame with clips &amp; seals with Dormakaba Flush Hinges (3Nos) &amp; TGDI-D 22x300mm Pull Handle, 917 Narrow stile Dead Lock package and Dormakaba TS91 Door closer (as per EN 1154) with Hold Open unit,For doors part of single/double glazed partiton DP100-SG/DG Door rebate profile to be used.In case of Glass overall panel Alterra lite OHPDP100-SD/DG Over Panel Door profile to be used.The Alterra lite profiles shall be suitable for Glass thickness of 12mm.The Profile shall be matt natural anodized, the Profile Manufacturer to supply all the necessary clips, seals and fixing accessories for the system.All Profiles to be with 2 mm Gauge thickness Excluding 20 Micron of Anodizing.Approved Manufacturer: Profiles/Frames: Dormakaba, Glass : Saint Giobain/AsahiWidth 1000mm x Height 2400mm</v>
      </c>
      <c r="C3132" s="723"/>
      <c r="D3132" s="723"/>
      <c r="E3132" s="723"/>
      <c r="F3132" s="723"/>
      <c r="G3132" s="723"/>
      <c r="H3132" s="723"/>
      <c r="I3132" s="723"/>
      <c r="J3132" s="723"/>
      <c r="K3132" s="723"/>
    </row>
    <row r="3133" spans="1:11">
      <c r="A3133" s="568"/>
      <c r="B3133" s="593" t="s">
        <v>510</v>
      </c>
      <c r="C3133" s="577"/>
      <c r="D3133" s="578">
        <v>1</v>
      </c>
      <c r="E3133" s="579" t="s">
        <v>8</v>
      </c>
      <c r="F3133" s="569">
        <v>1</v>
      </c>
      <c r="G3133" s="717">
        <v>10</v>
      </c>
      <c r="H3133" s="718"/>
      <c r="I3133" s="598"/>
      <c r="J3133" s="614">
        <f>ROUNDUP(PRODUCT(D3133:I3133),2)</f>
        <v>10</v>
      </c>
      <c r="K3133" s="576" t="s">
        <v>9</v>
      </c>
    </row>
    <row r="3134" spans="1:11">
      <c r="A3134" s="568"/>
      <c r="B3134" s="622" t="s">
        <v>28</v>
      </c>
      <c r="C3134" s="577"/>
      <c r="G3134" s="612"/>
      <c r="H3134" s="598"/>
      <c r="I3134" s="598"/>
      <c r="J3134" s="605">
        <f>ROUNDUP(J3133,0)</f>
        <v>10</v>
      </c>
      <c r="K3134" s="576" t="s">
        <v>9</v>
      </c>
    </row>
    <row r="3135" spans="1:11">
      <c r="A3135" s="568"/>
      <c r="B3135" s="690" t="s">
        <v>737</v>
      </c>
      <c r="C3135" s="585"/>
      <c r="D3135" s="585"/>
      <c r="E3135" s="586"/>
      <c r="F3135" s="587"/>
      <c r="G3135" s="585"/>
      <c r="H3135" s="587"/>
      <c r="I3135" s="588"/>
      <c r="J3135" s="588"/>
      <c r="K3135" s="588"/>
    </row>
    <row r="3136" spans="1:11">
      <c r="A3136" s="568"/>
      <c r="B3136" s="593" t="s">
        <v>1096</v>
      </c>
      <c r="C3136" s="577"/>
      <c r="D3136" s="578">
        <v>1</v>
      </c>
      <c r="E3136" s="579" t="s">
        <v>8</v>
      </c>
      <c r="F3136" s="569">
        <v>1</v>
      </c>
      <c r="G3136" s="691">
        <v>1.5</v>
      </c>
      <c r="H3136" s="603">
        <v>1.6</v>
      </c>
      <c r="I3136" s="598"/>
      <c r="J3136" s="598">
        <f t="shared" ref="J3136:J3145" si="338">ROUNDUP(PRODUCT(D3136:I3136),2)</f>
        <v>2.4</v>
      </c>
      <c r="K3136" s="588"/>
    </row>
    <row r="3137" spans="1:11">
      <c r="A3137" s="568"/>
      <c r="B3137" s="593" t="s">
        <v>1105</v>
      </c>
      <c r="C3137" s="577"/>
      <c r="D3137" s="578">
        <v>1</v>
      </c>
      <c r="E3137" s="579" t="s">
        <v>8</v>
      </c>
      <c r="F3137" s="569">
        <v>1</v>
      </c>
      <c r="G3137" s="691">
        <v>1.5</v>
      </c>
      <c r="H3137" s="603">
        <v>1.6</v>
      </c>
      <c r="I3137" s="598"/>
      <c r="J3137" s="598">
        <f t="shared" si="338"/>
        <v>2.4</v>
      </c>
      <c r="K3137" s="588"/>
    </row>
    <row r="3138" spans="1:11">
      <c r="A3138" s="568"/>
      <c r="B3138" s="593" t="s">
        <v>1228</v>
      </c>
      <c r="C3138" s="577"/>
      <c r="D3138" s="578">
        <v>1</v>
      </c>
      <c r="E3138" s="579" t="s">
        <v>8</v>
      </c>
      <c r="F3138" s="569">
        <v>1</v>
      </c>
      <c r="G3138" s="691">
        <v>2.2000000000000002</v>
      </c>
      <c r="H3138" s="603">
        <v>2.2000000000000002</v>
      </c>
      <c r="I3138" s="598"/>
      <c r="J3138" s="598">
        <f t="shared" si="338"/>
        <v>4.84</v>
      </c>
      <c r="K3138" s="588"/>
    </row>
    <row r="3139" spans="1:11">
      <c r="A3139" s="568"/>
      <c r="B3139" s="593" t="s">
        <v>592</v>
      </c>
      <c r="C3139" s="577"/>
      <c r="D3139" s="578">
        <v>1</v>
      </c>
      <c r="E3139" s="579" t="s">
        <v>8</v>
      </c>
      <c r="F3139" s="569">
        <v>1</v>
      </c>
      <c r="G3139" s="691">
        <v>2.2000000000000002</v>
      </c>
      <c r="H3139" s="603">
        <v>2.2000000000000002</v>
      </c>
      <c r="I3139" s="598"/>
      <c r="J3139" s="598">
        <f t="shared" si="338"/>
        <v>4.84</v>
      </c>
      <c r="K3139" s="588"/>
    </row>
    <row r="3140" spans="1:11">
      <c r="A3140" s="568"/>
      <c r="B3140" s="593" t="s">
        <v>1102</v>
      </c>
      <c r="C3140" s="577"/>
      <c r="D3140" s="578">
        <v>1</v>
      </c>
      <c r="E3140" s="579" t="s">
        <v>8</v>
      </c>
      <c r="F3140" s="569">
        <v>1</v>
      </c>
      <c r="G3140" s="691">
        <v>2.37</v>
      </c>
      <c r="H3140" s="603">
        <v>2.6</v>
      </c>
      <c r="I3140" s="598"/>
      <c r="J3140" s="598">
        <f t="shared" si="338"/>
        <v>6.17</v>
      </c>
      <c r="K3140" s="588"/>
    </row>
    <row r="3141" spans="1:11">
      <c r="A3141" s="568"/>
      <c r="B3141" s="593" t="s">
        <v>1103</v>
      </c>
      <c r="C3141" s="577"/>
      <c r="D3141" s="578">
        <v>1</v>
      </c>
      <c r="E3141" s="579" t="s">
        <v>8</v>
      </c>
      <c r="F3141" s="569">
        <v>1</v>
      </c>
      <c r="G3141" s="691">
        <v>2.5</v>
      </c>
      <c r="H3141" s="603">
        <v>1</v>
      </c>
      <c r="I3141" s="598"/>
      <c r="J3141" s="598">
        <f t="shared" si="338"/>
        <v>2.5</v>
      </c>
      <c r="K3141" s="588"/>
    </row>
    <row r="3142" spans="1:11">
      <c r="A3142" s="568"/>
      <c r="B3142" s="593" t="s">
        <v>1099</v>
      </c>
      <c r="C3142" s="577"/>
      <c r="D3142" s="578">
        <v>1</v>
      </c>
      <c r="E3142" s="579" t="s">
        <v>8</v>
      </c>
      <c r="F3142" s="569">
        <v>2</v>
      </c>
      <c r="G3142" s="691">
        <v>1.5</v>
      </c>
      <c r="H3142" s="603">
        <v>1.2</v>
      </c>
      <c r="I3142" s="598"/>
      <c r="J3142" s="598">
        <f t="shared" si="338"/>
        <v>3.6</v>
      </c>
      <c r="K3142" s="588"/>
    </row>
    <row r="3143" spans="1:11">
      <c r="A3143" s="568"/>
      <c r="B3143" s="593" t="s">
        <v>1233</v>
      </c>
      <c r="C3143" s="577"/>
      <c r="D3143" s="578">
        <v>1</v>
      </c>
      <c r="E3143" s="579" t="s">
        <v>8</v>
      </c>
      <c r="F3143" s="569">
        <v>2</v>
      </c>
      <c r="G3143" s="691">
        <v>2.2000000000000002</v>
      </c>
      <c r="H3143" s="603">
        <v>2.2000000000000002</v>
      </c>
      <c r="I3143" s="598"/>
      <c r="J3143" s="598">
        <f t="shared" si="338"/>
        <v>9.68</v>
      </c>
      <c r="K3143" s="588"/>
    </row>
    <row r="3144" spans="1:11">
      <c r="A3144" s="568"/>
      <c r="B3144" s="593" t="s">
        <v>1110</v>
      </c>
      <c r="C3144" s="577"/>
      <c r="D3144" s="578">
        <v>1</v>
      </c>
      <c r="E3144" s="579" t="s">
        <v>8</v>
      </c>
      <c r="F3144" s="569">
        <v>1</v>
      </c>
      <c r="G3144" s="691">
        <v>1.5</v>
      </c>
      <c r="H3144" s="603">
        <v>1.6</v>
      </c>
      <c r="I3144" s="598"/>
      <c r="J3144" s="598">
        <f t="shared" si="338"/>
        <v>2.4</v>
      </c>
      <c r="K3144" s="588"/>
    </row>
    <row r="3145" spans="1:11">
      <c r="A3145" s="568"/>
      <c r="B3145" s="593" t="s">
        <v>1329</v>
      </c>
      <c r="C3145" s="577"/>
      <c r="D3145" s="578">
        <v>1</v>
      </c>
      <c r="E3145" s="579" t="s">
        <v>8</v>
      </c>
      <c r="F3145" s="569">
        <v>1</v>
      </c>
      <c r="G3145" s="691">
        <v>1.2</v>
      </c>
      <c r="H3145" s="603">
        <v>2</v>
      </c>
      <c r="I3145" s="598"/>
      <c r="J3145" s="598">
        <f t="shared" si="338"/>
        <v>2.4</v>
      </c>
      <c r="K3145" s="588"/>
    </row>
    <row r="3146" spans="1:11">
      <c r="A3146" s="568"/>
      <c r="B3146" s="584" t="s">
        <v>1234</v>
      </c>
      <c r="C3146" s="577"/>
      <c r="G3146" s="603"/>
      <c r="H3146" s="603"/>
      <c r="I3146" s="598"/>
      <c r="J3146" s="598"/>
      <c r="K3146" s="588"/>
    </row>
    <row r="3147" spans="1:11">
      <c r="A3147" s="568"/>
      <c r="B3147" s="584" t="s">
        <v>13</v>
      </c>
      <c r="C3147" s="577"/>
      <c r="G3147" s="603"/>
      <c r="H3147" s="603"/>
      <c r="I3147" s="598"/>
      <c r="J3147" s="598"/>
      <c r="K3147" s="588"/>
    </row>
    <row r="3148" spans="1:11">
      <c r="A3148" s="568"/>
      <c r="B3148" s="593" t="s">
        <v>1225</v>
      </c>
      <c r="C3148" s="577"/>
      <c r="D3148" s="578">
        <v>3</v>
      </c>
      <c r="E3148" s="579" t="s">
        <v>8</v>
      </c>
      <c r="F3148" s="569">
        <v>5</v>
      </c>
      <c r="G3148" s="715">
        <v>7.7</v>
      </c>
      <c r="H3148" s="716"/>
      <c r="I3148" s="598"/>
      <c r="J3148" s="598">
        <f t="shared" ref="J3148:J3152" si="339">ROUNDUP(PRODUCT(D3148:I3148),2)</f>
        <v>115.5</v>
      </c>
      <c r="K3148" s="588"/>
    </row>
    <row r="3149" spans="1:11">
      <c r="A3149" s="568"/>
      <c r="B3149" s="593" t="s">
        <v>1236</v>
      </c>
      <c r="C3149" s="577"/>
      <c r="D3149" s="578">
        <v>3</v>
      </c>
      <c r="E3149" s="579" t="s">
        <v>8</v>
      </c>
      <c r="F3149" s="569">
        <v>5</v>
      </c>
      <c r="G3149" s="715">
        <v>22.5</v>
      </c>
      <c r="H3149" s="716"/>
      <c r="I3149" s="598"/>
      <c r="J3149" s="598">
        <f t="shared" si="339"/>
        <v>337.5</v>
      </c>
      <c r="K3149" s="588"/>
    </row>
    <row r="3150" spans="1:11">
      <c r="A3150" s="568"/>
      <c r="B3150" s="593" t="s">
        <v>1224</v>
      </c>
      <c r="C3150" s="577"/>
      <c r="D3150" s="578">
        <v>3</v>
      </c>
      <c r="E3150" s="579" t="s">
        <v>8</v>
      </c>
      <c r="F3150" s="569">
        <v>3</v>
      </c>
      <c r="G3150" s="603">
        <v>1.1499999999999999</v>
      </c>
      <c r="H3150" s="603">
        <v>1.5</v>
      </c>
      <c r="I3150" s="598"/>
      <c r="J3150" s="598">
        <f t="shared" si="339"/>
        <v>15.53</v>
      </c>
      <c r="K3150" s="588"/>
    </row>
    <row r="3151" spans="1:11">
      <c r="A3151" s="568"/>
      <c r="B3151" s="593" t="s">
        <v>1224</v>
      </c>
      <c r="C3151" s="577"/>
      <c r="D3151" s="578">
        <v>3</v>
      </c>
      <c r="E3151" s="579" t="s">
        <v>8</v>
      </c>
      <c r="F3151" s="569">
        <v>1</v>
      </c>
      <c r="G3151" s="603">
        <v>1.325</v>
      </c>
      <c r="H3151" s="603">
        <v>1.5</v>
      </c>
      <c r="I3151" s="598"/>
      <c r="J3151" s="598">
        <f t="shared" si="339"/>
        <v>5.97</v>
      </c>
      <c r="K3151" s="588"/>
    </row>
    <row r="3152" spans="1:11">
      <c r="A3152" s="568"/>
      <c r="B3152" s="593" t="s">
        <v>1099</v>
      </c>
      <c r="C3152" s="577"/>
      <c r="D3152" s="578">
        <v>3</v>
      </c>
      <c r="E3152" s="579" t="s">
        <v>8</v>
      </c>
      <c r="F3152" s="569">
        <v>3</v>
      </c>
      <c r="G3152" s="603">
        <v>1.25</v>
      </c>
      <c r="H3152" s="603">
        <v>1.5</v>
      </c>
      <c r="I3152" s="598"/>
      <c r="J3152" s="598">
        <f t="shared" si="339"/>
        <v>16.880000000000003</v>
      </c>
      <c r="K3152" s="588"/>
    </row>
    <row r="3153" spans="1:11">
      <c r="A3153" s="568"/>
      <c r="B3153" s="593"/>
      <c r="C3153" s="577"/>
      <c r="G3153" s="612"/>
      <c r="H3153" s="598"/>
      <c r="I3153" s="598"/>
      <c r="J3153" s="614">
        <f>SUM(J3136:J3152)</f>
        <v>532.61</v>
      </c>
      <c r="K3153" s="581"/>
    </row>
    <row r="3154" spans="1:11">
      <c r="A3154" s="568"/>
      <c r="B3154" s="622" t="s">
        <v>28</v>
      </c>
      <c r="C3154" s="577"/>
      <c r="G3154" s="612"/>
      <c r="H3154" s="598"/>
      <c r="I3154" s="598"/>
      <c r="J3154" s="605">
        <f>ROUNDUP(J3153,0)</f>
        <v>533</v>
      </c>
      <c r="K3154" s="576" t="s">
        <v>9</v>
      </c>
    </row>
    <row r="3155" spans="1:11">
      <c r="A3155" s="568"/>
      <c r="B3155" s="593"/>
      <c r="C3155" s="577"/>
      <c r="G3155" s="612"/>
      <c r="H3155" s="598"/>
      <c r="I3155" s="598"/>
      <c r="J3155" s="598"/>
      <c r="K3155" s="581"/>
    </row>
    <row r="3156" spans="1:11" ht="54.75" customHeight="1">
      <c r="A3156" s="568">
        <f>A3126+1</f>
        <v>75</v>
      </c>
      <c r="B3156" s="719" t="str">
        <f>'BOQ-C&amp;I'!C253</f>
        <v>PASSENGER LIFTS (G+3)SS 304 Grade with 1m/sec. speed with ARD</v>
      </c>
      <c r="C3156" s="719"/>
      <c r="D3156" s="719"/>
      <c r="E3156" s="719"/>
      <c r="F3156" s="719"/>
      <c r="G3156" s="719"/>
      <c r="H3156" s="719"/>
      <c r="I3156" s="719"/>
      <c r="J3156" s="719"/>
      <c r="K3156" s="719"/>
    </row>
    <row r="3157" spans="1:11" ht="90.75" customHeight="1">
      <c r="A3157" s="568" t="s">
        <v>71</v>
      </c>
      <c r="B3157" s="593" t="str">
        <f>'BOQ-C&amp;I'!C254</f>
        <v>13 Persons Passenger Lift Car Size (2000 x 1100) Gearless Lift without Machine Room</v>
      </c>
      <c r="C3157" s="577"/>
      <c r="D3157" s="578">
        <v>1</v>
      </c>
      <c r="E3157" s="579" t="s">
        <v>8</v>
      </c>
      <c r="F3157" s="569">
        <v>1</v>
      </c>
      <c r="G3157" s="692">
        <v>1</v>
      </c>
      <c r="H3157" s="598"/>
      <c r="I3157" s="598"/>
      <c r="J3157" s="598">
        <f t="shared" ref="J3157" si="340">ROUNDUP(PRODUCT(D3157:I3157),2)</f>
        <v>1</v>
      </c>
      <c r="K3157" s="588" t="s">
        <v>165</v>
      </c>
    </row>
    <row r="3158" spans="1:11" ht="77.25" customHeight="1">
      <c r="A3158" s="568"/>
      <c r="B3158" s="720" t="str">
        <f>'BOQ-C&amp;I'!C255</f>
        <v>Further increase of rate per floor for every additional floor Rs.1,00,000/- per floor. Comprehensive servicing and maintenance of lifts for further period of 2 years beyond free warranty period of one year from the date of commissioning of lifts will be paid at the rate of 5% of capital cost of lift.</v>
      </c>
      <c r="C3158" s="721"/>
      <c r="D3158" s="721"/>
      <c r="E3158" s="721"/>
      <c r="F3158" s="721"/>
      <c r="G3158" s="721"/>
      <c r="H3158" s="721"/>
      <c r="I3158" s="721"/>
      <c r="J3158" s="721"/>
      <c r="K3158" s="722"/>
    </row>
    <row r="3159" spans="1:11" ht="36">
      <c r="A3159" s="568" t="s">
        <v>70</v>
      </c>
      <c r="B3159" s="588" t="s">
        <v>1428</v>
      </c>
      <c r="C3159" s="577"/>
      <c r="D3159" s="578">
        <v>1</v>
      </c>
      <c r="E3159" s="579" t="s">
        <v>8</v>
      </c>
      <c r="F3159" s="569">
        <v>1</v>
      </c>
      <c r="G3159" s="692">
        <v>1</v>
      </c>
      <c r="H3159" s="612"/>
      <c r="I3159" s="598"/>
      <c r="J3159" s="598">
        <f t="shared" ref="J3159" si="341">ROUNDUP(PRODUCT(D3159:I3159),2)</f>
        <v>1</v>
      </c>
      <c r="K3159" s="581" t="s">
        <v>736</v>
      </c>
    </row>
    <row r="3160" spans="1:11">
      <c r="A3160" s="568">
        <f>A3156+1</f>
        <v>76</v>
      </c>
      <c r="B3160" s="584" t="s">
        <v>1402</v>
      </c>
      <c r="C3160" s="577"/>
      <c r="G3160" s="693"/>
      <c r="H3160" s="612"/>
      <c r="I3160" s="598"/>
      <c r="J3160" s="598"/>
      <c r="K3160" s="581"/>
    </row>
    <row r="3161" spans="1:11">
      <c r="A3161" s="568"/>
      <c r="B3161" s="584" t="s">
        <v>1887</v>
      </c>
      <c r="C3161" s="577"/>
      <c r="G3161" s="693"/>
      <c r="H3161" s="612"/>
      <c r="I3161" s="598"/>
      <c r="J3161" s="598"/>
      <c r="K3161" s="581"/>
    </row>
    <row r="3162" spans="1:11">
      <c r="A3162" s="568"/>
      <c r="B3162" s="593" t="s">
        <v>1403</v>
      </c>
      <c r="C3162" s="599"/>
      <c r="D3162" s="578">
        <v>1</v>
      </c>
      <c r="E3162" s="579" t="s">
        <v>8</v>
      </c>
      <c r="F3162" s="569">
        <v>1</v>
      </c>
      <c r="G3162" s="594">
        <v>9.2750000000000004</v>
      </c>
      <c r="H3162" s="595">
        <f>7.3+0.3+0.3</f>
        <v>7.8999999999999995</v>
      </c>
      <c r="I3162" s="596">
        <v>0.3</v>
      </c>
      <c r="J3162" s="597">
        <f t="shared" ref="J3162:J3169" si="342">PRODUCT(D3162:I3162)</f>
        <v>21.981749999999998</v>
      </c>
      <c r="K3162" s="599"/>
    </row>
    <row r="3163" spans="1:11">
      <c r="A3163" s="568"/>
      <c r="B3163" s="593" t="s">
        <v>1431</v>
      </c>
      <c r="C3163" s="599"/>
      <c r="D3163" s="578">
        <v>1</v>
      </c>
      <c r="E3163" s="579" t="s">
        <v>8</v>
      </c>
      <c r="F3163" s="569">
        <v>1</v>
      </c>
      <c r="G3163" s="717">
        <v>30.91</v>
      </c>
      <c r="H3163" s="718"/>
      <c r="I3163" s="596">
        <v>0.3</v>
      </c>
      <c r="J3163" s="597">
        <f t="shared" si="342"/>
        <v>9.2729999999999997</v>
      </c>
      <c r="K3163" s="599"/>
    </row>
    <row r="3164" spans="1:11" ht="36">
      <c r="A3164" s="568"/>
      <c r="B3164" s="593" t="s">
        <v>1404</v>
      </c>
      <c r="C3164" s="599"/>
      <c r="D3164" s="578">
        <v>1</v>
      </c>
      <c r="E3164" s="579" t="s">
        <v>8</v>
      </c>
      <c r="F3164" s="569">
        <v>1</v>
      </c>
      <c r="G3164" s="717">
        <v>136.69999999999999</v>
      </c>
      <c r="H3164" s="718"/>
      <c r="I3164" s="596">
        <v>0.3</v>
      </c>
      <c r="J3164" s="597">
        <f t="shared" si="342"/>
        <v>41.01</v>
      </c>
      <c r="K3164" s="599"/>
    </row>
    <row r="3165" spans="1:11">
      <c r="A3165" s="568"/>
      <c r="B3165" s="593" t="s">
        <v>1431</v>
      </c>
      <c r="C3165" s="599"/>
      <c r="D3165" s="578">
        <v>1</v>
      </c>
      <c r="E3165" s="579" t="s">
        <v>8</v>
      </c>
      <c r="F3165" s="569">
        <v>1</v>
      </c>
      <c r="G3165" s="717">
        <v>23.16</v>
      </c>
      <c r="H3165" s="718"/>
      <c r="I3165" s="596">
        <v>0.3</v>
      </c>
      <c r="J3165" s="597">
        <f t="shared" si="342"/>
        <v>6.9479999999999995</v>
      </c>
      <c r="K3165" s="599"/>
    </row>
    <row r="3166" spans="1:11">
      <c r="A3166" s="568"/>
      <c r="B3166" s="593" t="s">
        <v>1430</v>
      </c>
      <c r="C3166" s="599"/>
      <c r="D3166" s="578">
        <v>1</v>
      </c>
      <c r="E3166" s="579" t="s">
        <v>8</v>
      </c>
      <c r="F3166" s="569">
        <v>1</v>
      </c>
      <c r="G3166" s="717">
        <v>526.83000000000004</v>
      </c>
      <c r="H3166" s="718"/>
      <c r="I3166" s="596">
        <v>0.3</v>
      </c>
      <c r="J3166" s="597">
        <f t="shared" si="342"/>
        <v>158.04900000000001</v>
      </c>
      <c r="K3166" s="599"/>
    </row>
    <row r="3167" spans="1:11">
      <c r="A3167" s="568"/>
      <c r="B3167" s="593" t="s">
        <v>1405</v>
      </c>
      <c r="C3167" s="599"/>
      <c r="D3167" s="578">
        <v>1</v>
      </c>
      <c r="E3167" s="579" t="s">
        <v>8</v>
      </c>
      <c r="F3167" s="569">
        <v>1</v>
      </c>
      <c r="G3167" s="594">
        <v>4.42</v>
      </c>
      <c r="H3167" s="595">
        <f>3+0.3+0.3</f>
        <v>3.5999999999999996</v>
      </c>
      <c r="I3167" s="596">
        <v>0.3</v>
      </c>
      <c r="J3167" s="597">
        <f t="shared" si="342"/>
        <v>4.7735999999999992</v>
      </c>
      <c r="K3167" s="599"/>
    </row>
    <row r="3168" spans="1:11">
      <c r="A3168" s="568"/>
      <c r="B3168" s="593" t="s">
        <v>1366</v>
      </c>
      <c r="C3168" s="599"/>
      <c r="D3168" s="578">
        <v>1</v>
      </c>
      <c r="E3168" s="579" t="s">
        <v>8</v>
      </c>
      <c r="F3168" s="569">
        <v>2</v>
      </c>
      <c r="G3168" s="594">
        <v>3</v>
      </c>
      <c r="H3168" s="595">
        <f>4.36+0.3+0.3</f>
        <v>4.96</v>
      </c>
      <c r="I3168" s="596">
        <v>0.3</v>
      </c>
      <c r="J3168" s="597">
        <f t="shared" si="342"/>
        <v>8.927999999999999</v>
      </c>
      <c r="K3168" s="599"/>
    </row>
    <row r="3169" spans="1:11">
      <c r="A3169" s="568"/>
      <c r="B3169" s="593" t="s">
        <v>1406</v>
      </c>
      <c r="C3169" s="599"/>
      <c r="D3169" s="578">
        <v>1</v>
      </c>
      <c r="E3169" s="579" t="s">
        <v>8</v>
      </c>
      <c r="F3169" s="569">
        <v>1</v>
      </c>
      <c r="G3169" s="594">
        <v>3</v>
      </c>
      <c r="H3169" s="595">
        <f>3.13+0.3+0.3</f>
        <v>3.7299999999999995</v>
      </c>
      <c r="I3169" s="596">
        <v>0.3</v>
      </c>
      <c r="J3169" s="597">
        <f t="shared" si="342"/>
        <v>3.3569999999999993</v>
      </c>
      <c r="K3169" s="599"/>
    </row>
    <row r="3170" spans="1:11">
      <c r="A3170" s="568"/>
      <c r="B3170" s="599"/>
      <c r="C3170" s="599"/>
      <c r="G3170" s="599"/>
      <c r="H3170" s="599"/>
      <c r="I3170" s="599"/>
      <c r="J3170" s="605">
        <f>SUM(J3162:J3169)</f>
        <v>254.32034999999999</v>
      </c>
      <c r="K3170" s="599"/>
    </row>
    <row r="3171" spans="1:11">
      <c r="A3171" s="568"/>
      <c r="B3171" s="622" t="s">
        <v>28</v>
      </c>
      <c r="C3171" s="599"/>
      <c r="G3171" s="599"/>
      <c r="H3171" s="599"/>
      <c r="I3171" s="599"/>
      <c r="J3171" s="605">
        <f>ROUNDUP(J3170,0)</f>
        <v>255</v>
      </c>
      <c r="K3171" s="694" t="s">
        <v>52</v>
      </c>
    </row>
    <row r="3172" spans="1:11">
      <c r="A3172" s="568"/>
      <c r="B3172" s="584" t="s">
        <v>1407</v>
      </c>
      <c r="C3172" s="599"/>
      <c r="G3172" s="599"/>
      <c r="H3172" s="599"/>
      <c r="I3172" s="599"/>
      <c r="J3172" s="599"/>
      <c r="K3172" s="695"/>
    </row>
    <row r="3173" spans="1:11">
      <c r="A3173" s="568"/>
      <c r="B3173" s="593" t="s">
        <v>1403</v>
      </c>
      <c r="C3173" s="599"/>
      <c r="D3173" s="578">
        <v>1</v>
      </c>
      <c r="E3173" s="579" t="s">
        <v>8</v>
      </c>
      <c r="F3173" s="569">
        <v>1</v>
      </c>
      <c r="G3173" s="594">
        <v>9.2750000000000004</v>
      </c>
      <c r="H3173" s="595">
        <f>7.3+0.3+0.3</f>
        <v>7.8999999999999995</v>
      </c>
      <c r="I3173" s="596"/>
      <c r="J3173" s="597">
        <f t="shared" ref="J3173:J3180" si="343">PRODUCT(D3173:I3173)</f>
        <v>73.272499999999994</v>
      </c>
      <c r="K3173" s="695"/>
    </row>
    <row r="3174" spans="1:11">
      <c r="A3174" s="568"/>
      <c r="B3174" s="593" t="s">
        <v>1431</v>
      </c>
      <c r="C3174" s="599"/>
      <c r="D3174" s="578">
        <v>1</v>
      </c>
      <c r="E3174" s="579" t="s">
        <v>8</v>
      </c>
      <c r="F3174" s="569">
        <v>1</v>
      </c>
      <c r="G3174" s="717">
        <v>30.91</v>
      </c>
      <c r="H3174" s="718"/>
      <c r="I3174" s="596"/>
      <c r="J3174" s="597">
        <f t="shared" si="343"/>
        <v>30.91</v>
      </c>
      <c r="K3174" s="695"/>
    </row>
    <row r="3175" spans="1:11" ht="36">
      <c r="A3175" s="568"/>
      <c r="B3175" s="593" t="s">
        <v>1404</v>
      </c>
      <c r="C3175" s="599"/>
      <c r="D3175" s="578">
        <v>1</v>
      </c>
      <c r="E3175" s="579" t="s">
        <v>8</v>
      </c>
      <c r="F3175" s="569">
        <v>1</v>
      </c>
      <c r="G3175" s="717">
        <v>136.69999999999999</v>
      </c>
      <c r="H3175" s="718"/>
      <c r="I3175" s="596"/>
      <c r="J3175" s="597">
        <f t="shared" si="343"/>
        <v>136.69999999999999</v>
      </c>
      <c r="K3175" s="695"/>
    </row>
    <row r="3176" spans="1:11">
      <c r="A3176" s="568"/>
      <c r="B3176" s="593" t="s">
        <v>1431</v>
      </c>
      <c r="C3176" s="599"/>
      <c r="D3176" s="578">
        <v>1</v>
      </c>
      <c r="E3176" s="579" t="s">
        <v>8</v>
      </c>
      <c r="F3176" s="569">
        <v>1</v>
      </c>
      <c r="G3176" s="717">
        <v>23.16</v>
      </c>
      <c r="H3176" s="718"/>
      <c r="I3176" s="596"/>
      <c r="J3176" s="597">
        <f t="shared" si="343"/>
        <v>23.16</v>
      </c>
      <c r="K3176" s="695"/>
    </row>
    <row r="3177" spans="1:11">
      <c r="A3177" s="568"/>
      <c r="B3177" s="593" t="s">
        <v>1430</v>
      </c>
      <c r="C3177" s="599"/>
      <c r="D3177" s="578">
        <v>1</v>
      </c>
      <c r="E3177" s="579" t="s">
        <v>8</v>
      </c>
      <c r="F3177" s="569">
        <v>1</v>
      </c>
      <c r="G3177" s="717">
        <v>526.83000000000004</v>
      </c>
      <c r="H3177" s="718"/>
      <c r="I3177" s="596"/>
      <c r="J3177" s="597">
        <f t="shared" si="343"/>
        <v>526.83000000000004</v>
      </c>
      <c r="K3177" s="695"/>
    </row>
    <row r="3178" spans="1:11">
      <c r="A3178" s="568"/>
      <c r="B3178" s="593" t="s">
        <v>1405</v>
      </c>
      <c r="C3178" s="599"/>
      <c r="D3178" s="578">
        <v>1</v>
      </c>
      <c r="E3178" s="579" t="s">
        <v>8</v>
      </c>
      <c r="F3178" s="569">
        <v>1</v>
      </c>
      <c r="G3178" s="594">
        <v>4.42</v>
      </c>
      <c r="H3178" s="595">
        <f>3+0.3+0.3</f>
        <v>3.5999999999999996</v>
      </c>
      <c r="I3178" s="596"/>
      <c r="J3178" s="597">
        <f t="shared" si="343"/>
        <v>15.911999999999999</v>
      </c>
      <c r="K3178" s="695"/>
    </row>
    <row r="3179" spans="1:11">
      <c r="A3179" s="568"/>
      <c r="B3179" s="593" t="s">
        <v>1366</v>
      </c>
      <c r="C3179" s="599"/>
      <c r="D3179" s="578">
        <v>1</v>
      </c>
      <c r="E3179" s="579" t="s">
        <v>8</v>
      </c>
      <c r="F3179" s="569">
        <v>2</v>
      </c>
      <c r="G3179" s="594">
        <v>3</v>
      </c>
      <c r="H3179" s="595">
        <f>4.36+0.3+0.3</f>
        <v>4.96</v>
      </c>
      <c r="I3179" s="596"/>
      <c r="J3179" s="597">
        <f t="shared" si="343"/>
        <v>29.759999999999998</v>
      </c>
      <c r="K3179" s="695"/>
    </row>
    <row r="3180" spans="1:11">
      <c r="A3180" s="568"/>
      <c r="B3180" s="593" t="s">
        <v>1406</v>
      </c>
      <c r="C3180" s="599"/>
      <c r="D3180" s="578">
        <v>1</v>
      </c>
      <c r="E3180" s="579" t="s">
        <v>8</v>
      </c>
      <c r="F3180" s="569">
        <v>1</v>
      </c>
      <c r="G3180" s="594">
        <v>3</v>
      </c>
      <c r="H3180" s="595">
        <f>3.13+0.3+0.3</f>
        <v>3.7299999999999995</v>
      </c>
      <c r="I3180" s="596"/>
      <c r="J3180" s="597">
        <f t="shared" si="343"/>
        <v>11.189999999999998</v>
      </c>
      <c r="K3180" s="695"/>
    </row>
    <row r="3181" spans="1:11">
      <c r="A3181" s="568"/>
      <c r="B3181" s="599"/>
      <c r="C3181" s="599"/>
      <c r="G3181" s="599"/>
      <c r="H3181" s="599"/>
      <c r="I3181" s="599"/>
      <c r="J3181" s="605">
        <f>SUM(J3173:J3180)</f>
        <v>847.73450000000003</v>
      </c>
      <c r="K3181" s="695"/>
    </row>
    <row r="3182" spans="1:11">
      <c r="A3182" s="568"/>
      <c r="B3182" s="622" t="s">
        <v>28</v>
      </c>
      <c r="C3182" s="599"/>
      <c r="G3182" s="599"/>
      <c r="H3182" s="599"/>
      <c r="I3182" s="599"/>
      <c r="J3182" s="605">
        <f>ROUNDUP(J3181,0)</f>
        <v>848</v>
      </c>
      <c r="K3182" s="694" t="s">
        <v>9</v>
      </c>
    </row>
    <row r="3183" spans="1:11" ht="36">
      <c r="A3183" s="568"/>
      <c r="B3183" s="584" t="s">
        <v>1429</v>
      </c>
      <c r="C3183" s="599"/>
      <c r="G3183" s="599"/>
      <c r="H3183" s="599"/>
      <c r="I3183" s="599"/>
      <c r="J3183" s="599"/>
      <c r="K3183" s="695"/>
    </row>
    <row r="3184" spans="1:11">
      <c r="A3184" s="568"/>
      <c r="B3184" s="593" t="s">
        <v>1403</v>
      </c>
      <c r="C3184" s="599"/>
      <c r="D3184" s="578">
        <v>1</v>
      </c>
      <c r="E3184" s="579" t="s">
        <v>8</v>
      </c>
      <c r="F3184" s="569">
        <v>1</v>
      </c>
      <c r="G3184" s="594">
        <v>9.2750000000000004</v>
      </c>
      <c r="H3184" s="595">
        <f>7.3+0.3+0.3</f>
        <v>7.8999999999999995</v>
      </c>
      <c r="I3184" s="596">
        <v>0.3</v>
      </c>
      <c r="J3184" s="597">
        <f t="shared" ref="J3184:J3191" si="344">PRODUCT(D3184:I3184)</f>
        <v>21.981749999999998</v>
      </c>
      <c r="K3184" s="695"/>
    </row>
    <row r="3185" spans="1:11">
      <c r="A3185" s="568"/>
      <c r="B3185" s="593" t="s">
        <v>1431</v>
      </c>
      <c r="C3185" s="599"/>
      <c r="D3185" s="578">
        <v>1</v>
      </c>
      <c r="E3185" s="579" t="s">
        <v>8</v>
      </c>
      <c r="F3185" s="569">
        <v>1</v>
      </c>
      <c r="G3185" s="717">
        <v>30.91</v>
      </c>
      <c r="H3185" s="718"/>
      <c r="I3185" s="596">
        <v>0.3</v>
      </c>
      <c r="J3185" s="597">
        <f t="shared" si="344"/>
        <v>9.2729999999999997</v>
      </c>
      <c r="K3185" s="695"/>
    </row>
    <row r="3186" spans="1:11" ht="36">
      <c r="A3186" s="568"/>
      <c r="B3186" s="593" t="s">
        <v>1404</v>
      </c>
      <c r="C3186" s="599"/>
      <c r="D3186" s="578">
        <v>1</v>
      </c>
      <c r="E3186" s="579" t="s">
        <v>8</v>
      </c>
      <c r="F3186" s="569">
        <v>1</v>
      </c>
      <c r="G3186" s="717">
        <v>136.69999999999999</v>
      </c>
      <c r="H3186" s="718"/>
      <c r="I3186" s="596">
        <v>0.3</v>
      </c>
      <c r="J3186" s="597">
        <f t="shared" si="344"/>
        <v>41.01</v>
      </c>
      <c r="K3186" s="695"/>
    </row>
    <row r="3187" spans="1:11">
      <c r="A3187" s="568"/>
      <c r="B3187" s="593" t="s">
        <v>1431</v>
      </c>
      <c r="C3187" s="599"/>
      <c r="D3187" s="578">
        <v>1</v>
      </c>
      <c r="E3187" s="579" t="s">
        <v>8</v>
      </c>
      <c r="F3187" s="569">
        <v>1</v>
      </c>
      <c r="G3187" s="717">
        <v>23.16</v>
      </c>
      <c r="H3187" s="718"/>
      <c r="I3187" s="596">
        <v>0.3</v>
      </c>
      <c r="J3187" s="597">
        <f t="shared" si="344"/>
        <v>6.9479999999999995</v>
      </c>
      <c r="K3187" s="695"/>
    </row>
    <row r="3188" spans="1:11">
      <c r="A3188" s="568"/>
      <c r="B3188" s="593" t="s">
        <v>1430</v>
      </c>
      <c r="C3188" s="599"/>
      <c r="D3188" s="578">
        <v>1</v>
      </c>
      <c r="E3188" s="579" t="s">
        <v>8</v>
      </c>
      <c r="F3188" s="569">
        <v>1</v>
      </c>
      <c r="G3188" s="717">
        <v>526.83000000000004</v>
      </c>
      <c r="H3188" s="718"/>
      <c r="I3188" s="596">
        <v>0.3</v>
      </c>
      <c r="J3188" s="597">
        <f t="shared" si="344"/>
        <v>158.04900000000001</v>
      </c>
      <c r="K3188" s="695"/>
    </row>
    <row r="3189" spans="1:11">
      <c r="A3189" s="568"/>
      <c r="B3189" s="593" t="s">
        <v>1405</v>
      </c>
      <c r="C3189" s="599"/>
      <c r="D3189" s="578">
        <v>1</v>
      </c>
      <c r="E3189" s="579" t="s">
        <v>8</v>
      </c>
      <c r="F3189" s="569">
        <v>1</v>
      </c>
      <c r="G3189" s="594">
        <v>4.42</v>
      </c>
      <c r="H3189" s="595">
        <f>3+0.3+0.3</f>
        <v>3.5999999999999996</v>
      </c>
      <c r="I3189" s="596">
        <v>0.3</v>
      </c>
      <c r="J3189" s="597">
        <f t="shared" si="344"/>
        <v>4.7735999999999992</v>
      </c>
      <c r="K3189" s="695"/>
    </row>
    <row r="3190" spans="1:11">
      <c r="A3190" s="568"/>
      <c r="B3190" s="593" t="s">
        <v>1366</v>
      </c>
      <c r="C3190" s="599"/>
      <c r="D3190" s="578">
        <v>1</v>
      </c>
      <c r="E3190" s="579" t="s">
        <v>8</v>
      </c>
      <c r="F3190" s="569">
        <v>2</v>
      </c>
      <c r="G3190" s="594">
        <v>3</v>
      </c>
      <c r="H3190" s="595">
        <f>4.36+0.3+0.3</f>
        <v>4.96</v>
      </c>
      <c r="I3190" s="596">
        <v>0.3</v>
      </c>
      <c r="J3190" s="597">
        <f t="shared" si="344"/>
        <v>8.927999999999999</v>
      </c>
      <c r="K3190" s="695"/>
    </row>
    <row r="3191" spans="1:11">
      <c r="A3191" s="568"/>
      <c r="B3191" s="593" t="s">
        <v>1406</v>
      </c>
      <c r="C3191" s="599"/>
      <c r="D3191" s="578">
        <v>1</v>
      </c>
      <c r="E3191" s="579" t="s">
        <v>8</v>
      </c>
      <c r="F3191" s="569">
        <v>1</v>
      </c>
      <c r="G3191" s="594">
        <v>3</v>
      </c>
      <c r="H3191" s="595">
        <f>3.13+0.3+0.3</f>
        <v>3.7299999999999995</v>
      </c>
      <c r="I3191" s="596">
        <v>0.3</v>
      </c>
      <c r="J3191" s="597">
        <f t="shared" si="344"/>
        <v>3.3569999999999993</v>
      </c>
      <c r="K3191" s="695"/>
    </row>
    <row r="3192" spans="1:11">
      <c r="A3192" s="568"/>
      <c r="B3192" s="599"/>
      <c r="C3192" s="599"/>
      <c r="G3192" s="599"/>
      <c r="H3192" s="599"/>
      <c r="I3192" s="599"/>
      <c r="J3192" s="605">
        <f>SUM(J3184:J3191)</f>
        <v>254.32034999999999</v>
      </c>
      <c r="K3192" s="695"/>
    </row>
    <row r="3193" spans="1:11">
      <c r="A3193" s="568"/>
      <c r="B3193" s="622" t="s">
        <v>28</v>
      </c>
      <c r="C3193" s="599"/>
      <c r="G3193" s="599"/>
      <c r="H3193" s="599"/>
      <c r="I3193" s="599"/>
      <c r="J3193" s="605">
        <f>ROUNDUP(J3192,0)</f>
        <v>255</v>
      </c>
      <c r="K3193" s="694" t="s">
        <v>52</v>
      </c>
    </row>
    <row r="3194" spans="1:11">
      <c r="A3194" s="568"/>
      <c r="B3194" s="584" t="s">
        <v>1408</v>
      </c>
      <c r="C3194" s="599"/>
      <c r="G3194" s="599"/>
      <c r="H3194" s="599"/>
      <c r="I3194" s="599"/>
      <c r="J3194" s="605"/>
      <c r="K3194" s="694"/>
    </row>
    <row r="3195" spans="1:11">
      <c r="A3195" s="568"/>
      <c r="B3195" s="593" t="s">
        <v>1403</v>
      </c>
      <c r="C3195" s="599"/>
      <c r="D3195" s="578">
        <v>1</v>
      </c>
      <c r="E3195" s="579" t="s">
        <v>8</v>
      </c>
      <c r="F3195" s="569">
        <v>1</v>
      </c>
      <c r="G3195" s="594">
        <v>9.2750000000000004</v>
      </c>
      <c r="H3195" s="595">
        <f>7.3+0.3+0.3</f>
        <v>7.8999999999999995</v>
      </c>
      <c r="I3195" s="596">
        <v>0.05</v>
      </c>
      <c r="J3195" s="597">
        <f t="shared" ref="J3195:J3202" si="345">PRODUCT(D3195:I3195)</f>
        <v>3.6636249999999997</v>
      </c>
      <c r="K3195" s="695"/>
    </row>
    <row r="3196" spans="1:11">
      <c r="A3196" s="568"/>
      <c r="B3196" s="593" t="s">
        <v>1431</v>
      </c>
      <c r="C3196" s="599"/>
      <c r="D3196" s="578">
        <v>1</v>
      </c>
      <c r="E3196" s="579" t="s">
        <v>8</v>
      </c>
      <c r="F3196" s="569">
        <v>1</v>
      </c>
      <c r="G3196" s="717">
        <v>30.91</v>
      </c>
      <c r="H3196" s="718"/>
      <c r="I3196" s="596">
        <v>0.05</v>
      </c>
      <c r="J3196" s="597">
        <f t="shared" si="345"/>
        <v>1.5455000000000001</v>
      </c>
      <c r="K3196" s="695"/>
    </row>
    <row r="3197" spans="1:11" ht="36">
      <c r="A3197" s="568"/>
      <c r="B3197" s="593" t="s">
        <v>1404</v>
      </c>
      <c r="C3197" s="599"/>
      <c r="D3197" s="578">
        <v>1</v>
      </c>
      <c r="E3197" s="579" t="s">
        <v>8</v>
      </c>
      <c r="F3197" s="569">
        <v>1</v>
      </c>
      <c r="G3197" s="717">
        <v>136.69999999999999</v>
      </c>
      <c r="H3197" s="718"/>
      <c r="I3197" s="596">
        <v>0.05</v>
      </c>
      <c r="J3197" s="597">
        <f t="shared" si="345"/>
        <v>6.835</v>
      </c>
      <c r="K3197" s="695"/>
    </row>
    <row r="3198" spans="1:11">
      <c r="A3198" s="568"/>
      <c r="B3198" s="593" t="s">
        <v>1431</v>
      </c>
      <c r="C3198" s="599"/>
      <c r="D3198" s="578">
        <v>1</v>
      </c>
      <c r="E3198" s="579" t="s">
        <v>8</v>
      </c>
      <c r="F3198" s="569">
        <v>1</v>
      </c>
      <c r="G3198" s="717">
        <v>23.16</v>
      </c>
      <c r="H3198" s="718"/>
      <c r="I3198" s="596">
        <v>0.05</v>
      </c>
      <c r="J3198" s="597">
        <f t="shared" si="345"/>
        <v>1.1580000000000001</v>
      </c>
      <c r="K3198" s="695"/>
    </row>
    <row r="3199" spans="1:11">
      <c r="A3199" s="568"/>
      <c r="B3199" s="593" t="s">
        <v>1430</v>
      </c>
      <c r="C3199" s="599"/>
      <c r="D3199" s="578">
        <v>1</v>
      </c>
      <c r="E3199" s="579" t="s">
        <v>8</v>
      </c>
      <c r="F3199" s="569">
        <v>1</v>
      </c>
      <c r="G3199" s="717">
        <v>526.83000000000004</v>
      </c>
      <c r="H3199" s="718"/>
      <c r="I3199" s="596">
        <v>0.05</v>
      </c>
      <c r="J3199" s="597">
        <f t="shared" si="345"/>
        <v>26.341500000000003</v>
      </c>
      <c r="K3199" s="695"/>
    </row>
    <row r="3200" spans="1:11">
      <c r="A3200" s="568"/>
      <c r="B3200" s="593" t="s">
        <v>1405</v>
      </c>
      <c r="C3200" s="599"/>
      <c r="D3200" s="578">
        <v>1</v>
      </c>
      <c r="E3200" s="579" t="s">
        <v>8</v>
      </c>
      <c r="F3200" s="569">
        <v>1</v>
      </c>
      <c r="G3200" s="594">
        <v>4.42</v>
      </c>
      <c r="H3200" s="595">
        <f>3+0.3+0.3</f>
        <v>3.5999999999999996</v>
      </c>
      <c r="I3200" s="596">
        <v>0.05</v>
      </c>
      <c r="J3200" s="597">
        <f t="shared" si="345"/>
        <v>0.79559999999999997</v>
      </c>
      <c r="K3200" s="695"/>
    </row>
    <row r="3201" spans="1:11">
      <c r="A3201" s="568"/>
      <c r="B3201" s="593" t="s">
        <v>1366</v>
      </c>
      <c r="C3201" s="599"/>
      <c r="D3201" s="578">
        <v>1</v>
      </c>
      <c r="E3201" s="579" t="s">
        <v>8</v>
      </c>
      <c r="F3201" s="569">
        <v>2</v>
      </c>
      <c r="G3201" s="594">
        <v>3</v>
      </c>
      <c r="H3201" s="595">
        <f>4.36+0.3+0.3</f>
        <v>4.96</v>
      </c>
      <c r="I3201" s="596">
        <v>0.05</v>
      </c>
      <c r="J3201" s="597">
        <f t="shared" si="345"/>
        <v>1.488</v>
      </c>
      <c r="K3201" s="695"/>
    </row>
    <row r="3202" spans="1:11">
      <c r="A3202" s="568"/>
      <c r="B3202" s="593" t="s">
        <v>1406</v>
      </c>
      <c r="C3202" s="599"/>
      <c r="D3202" s="578">
        <v>1</v>
      </c>
      <c r="E3202" s="579" t="s">
        <v>8</v>
      </c>
      <c r="F3202" s="569">
        <v>1</v>
      </c>
      <c r="G3202" s="594">
        <v>3</v>
      </c>
      <c r="H3202" s="595">
        <f>3.13+0.3+0.3</f>
        <v>3.7299999999999995</v>
      </c>
      <c r="I3202" s="596">
        <v>0.05</v>
      </c>
      <c r="J3202" s="597">
        <f t="shared" si="345"/>
        <v>0.55949999999999989</v>
      </c>
      <c r="K3202" s="695"/>
    </row>
    <row r="3203" spans="1:11">
      <c r="A3203" s="568"/>
      <c r="B3203" s="599"/>
      <c r="C3203" s="599"/>
      <c r="G3203" s="599"/>
      <c r="H3203" s="599"/>
      <c r="I3203" s="599"/>
      <c r="J3203" s="605">
        <f>SUM(J3195:J3202)</f>
        <v>42.386725000000006</v>
      </c>
      <c r="K3203" s="695"/>
    </row>
    <row r="3204" spans="1:11">
      <c r="A3204" s="568"/>
      <c r="B3204" s="622" t="s">
        <v>28</v>
      </c>
      <c r="C3204" s="599"/>
      <c r="G3204" s="599"/>
      <c r="H3204" s="599"/>
      <c r="I3204" s="599"/>
      <c r="J3204" s="605">
        <f>ROUNDUP(J3203,0)</f>
        <v>43</v>
      </c>
      <c r="K3204" s="694" t="s">
        <v>52</v>
      </c>
    </row>
    <row r="3205" spans="1:11">
      <c r="A3205" s="568"/>
      <c r="B3205" s="584" t="s">
        <v>1409</v>
      </c>
      <c r="C3205" s="599"/>
      <c r="G3205" s="599"/>
      <c r="H3205" s="599"/>
      <c r="I3205" s="599"/>
      <c r="J3205" s="605"/>
      <c r="K3205" s="694"/>
    </row>
    <row r="3206" spans="1:11">
      <c r="A3206" s="568"/>
      <c r="B3206" s="593" t="s">
        <v>1431</v>
      </c>
      <c r="C3206" s="599"/>
      <c r="D3206" s="578">
        <v>1</v>
      </c>
      <c r="E3206" s="579" t="s">
        <v>8</v>
      </c>
      <c r="F3206" s="569">
        <v>1</v>
      </c>
      <c r="G3206" s="594">
        <v>5.5</v>
      </c>
      <c r="H3206" s="595">
        <v>1.5</v>
      </c>
      <c r="I3206" s="596">
        <v>7.4999999999999997E-2</v>
      </c>
      <c r="J3206" s="597">
        <f>PRODUCT(D3206:I3206)</f>
        <v>0.61875000000000002</v>
      </c>
      <c r="K3206" s="695"/>
    </row>
    <row r="3207" spans="1:11">
      <c r="A3207" s="568"/>
      <c r="B3207" s="593" t="s">
        <v>1431</v>
      </c>
      <c r="C3207" s="599"/>
      <c r="D3207" s="578">
        <v>1</v>
      </c>
      <c r="E3207" s="579" t="s">
        <v>8</v>
      </c>
      <c r="F3207" s="569">
        <v>1</v>
      </c>
      <c r="G3207" s="594">
        <v>5.5</v>
      </c>
      <c r="H3207" s="595">
        <v>1.5</v>
      </c>
      <c r="I3207" s="596">
        <v>7.4999999999999997E-2</v>
      </c>
      <c r="J3207" s="597">
        <f>PRODUCT(D3207:I3207)</f>
        <v>0.61875000000000002</v>
      </c>
      <c r="K3207" s="695"/>
    </row>
    <row r="3208" spans="1:11">
      <c r="A3208" s="568"/>
      <c r="B3208" s="599"/>
      <c r="C3208" s="599"/>
      <c r="G3208" s="599"/>
      <c r="H3208" s="599"/>
      <c r="I3208" s="599"/>
      <c r="J3208" s="605">
        <f>SUM(J3206:J3207)</f>
        <v>1.2375</v>
      </c>
      <c r="K3208" s="695"/>
    </row>
    <row r="3209" spans="1:11">
      <c r="A3209" s="568"/>
      <c r="B3209" s="622" t="s">
        <v>28</v>
      </c>
      <c r="C3209" s="599"/>
      <c r="G3209" s="599"/>
      <c r="H3209" s="599"/>
      <c r="I3209" s="599"/>
      <c r="J3209" s="605">
        <f>ROUNDUP(J3208,0)</f>
        <v>2</v>
      </c>
      <c r="K3209" s="694" t="s">
        <v>52</v>
      </c>
    </row>
    <row r="3210" spans="1:11" ht="36">
      <c r="A3210" s="568"/>
      <c r="B3210" s="584" t="s">
        <v>1410</v>
      </c>
      <c r="C3210" s="599"/>
      <c r="G3210" s="599"/>
      <c r="H3210" s="599"/>
      <c r="I3210" s="599"/>
      <c r="J3210" s="605"/>
      <c r="K3210" s="694"/>
    </row>
    <row r="3211" spans="1:11">
      <c r="A3211" s="568"/>
      <c r="B3211" s="593" t="s">
        <v>1403</v>
      </c>
      <c r="C3211" s="599"/>
      <c r="D3211" s="578">
        <v>1</v>
      </c>
      <c r="E3211" s="579" t="s">
        <v>8</v>
      </c>
      <c r="F3211" s="569">
        <v>1</v>
      </c>
      <c r="G3211" s="594">
        <v>9.2750000000000004</v>
      </c>
      <c r="H3211" s="595">
        <f>7.3</f>
        <v>7.3</v>
      </c>
      <c r="I3211" s="596"/>
      <c r="J3211" s="597">
        <f t="shared" ref="J3211:J3218" si="346">PRODUCT(D3211:I3211)</f>
        <v>67.707499999999996</v>
      </c>
      <c r="K3211" s="695"/>
    </row>
    <row r="3212" spans="1:11">
      <c r="A3212" s="568"/>
      <c r="B3212" s="593" t="s">
        <v>1431</v>
      </c>
      <c r="C3212" s="599"/>
      <c r="D3212" s="578">
        <v>1</v>
      </c>
      <c r="E3212" s="579" t="s">
        <v>8</v>
      </c>
      <c r="F3212" s="569">
        <v>1</v>
      </c>
      <c r="G3212" s="717">
        <v>30.91</v>
      </c>
      <c r="H3212" s="718"/>
      <c r="I3212" s="596"/>
      <c r="J3212" s="597">
        <f t="shared" si="346"/>
        <v>30.91</v>
      </c>
      <c r="K3212" s="695"/>
    </row>
    <row r="3213" spans="1:11" ht="36">
      <c r="A3213" s="568"/>
      <c r="B3213" s="593" t="s">
        <v>1404</v>
      </c>
      <c r="C3213" s="599"/>
      <c r="D3213" s="578">
        <v>1</v>
      </c>
      <c r="E3213" s="579" t="s">
        <v>8</v>
      </c>
      <c r="F3213" s="569">
        <v>1</v>
      </c>
      <c r="G3213" s="717">
        <v>136.69999999999999</v>
      </c>
      <c r="H3213" s="718"/>
      <c r="I3213" s="596"/>
      <c r="J3213" s="597">
        <f t="shared" si="346"/>
        <v>136.69999999999999</v>
      </c>
      <c r="K3213" s="695"/>
    </row>
    <row r="3214" spans="1:11">
      <c r="A3214" s="568"/>
      <c r="B3214" s="593" t="s">
        <v>1431</v>
      </c>
      <c r="C3214" s="599"/>
      <c r="D3214" s="578">
        <v>1</v>
      </c>
      <c r="E3214" s="579" t="s">
        <v>8</v>
      </c>
      <c r="F3214" s="569">
        <v>1</v>
      </c>
      <c r="G3214" s="717">
        <v>23.16</v>
      </c>
      <c r="H3214" s="718"/>
      <c r="I3214" s="596"/>
      <c r="J3214" s="597">
        <f t="shared" si="346"/>
        <v>23.16</v>
      </c>
      <c r="K3214" s="695"/>
    </row>
    <row r="3215" spans="1:11">
      <c r="A3215" s="568"/>
      <c r="B3215" s="593" t="s">
        <v>1430</v>
      </c>
      <c r="C3215" s="599"/>
      <c r="D3215" s="578">
        <v>1</v>
      </c>
      <c r="E3215" s="579" t="s">
        <v>8</v>
      </c>
      <c r="F3215" s="569">
        <v>1</v>
      </c>
      <c r="G3215" s="717">
        <v>526.83000000000004</v>
      </c>
      <c r="H3215" s="718"/>
      <c r="I3215" s="596"/>
      <c r="J3215" s="597">
        <f t="shared" si="346"/>
        <v>526.83000000000004</v>
      </c>
      <c r="K3215" s="695"/>
    </row>
    <row r="3216" spans="1:11">
      <c r="A3216" s="568"/>
      <c r="B3216" s="593" t="s">
        <v>1405</v>
      </c>
      <c r="C3216" s="599"/>
      <c r="D3216" s="578">
        <v>1</v>
      </c>
      <c r="E3216" s="579" t="s">
        <v>8</v>
      </c>
      <c r="F3216" s="569">
        <v>1</v>
      </c>
      <c r="G3216" s="594">
        <v>4.42</v>
      </c>
      <c r="H3216" s="595">
        <f>3</f>
        <v>3</v>
      </c>
      <c r="I3216" s="596"/>
      <c r="J3216" s="597">
        <f t="shared" si="346"/>
        <v>13.26</v>
      </c>
      <c r="K3216" s="695"/>
    </row>
    <row r="3217" spans="1:11">
      <c r="A3217" s="568"/>
      <c r="B3217" s="593" t="s">
        <v>1366</v>
      </c>
      <c r="C3217" s="599"/>
      <c r="D3217" s="578">
        <v>1</v>
      </c>
      <c r="E3217" s="579" t="s">
        <v>8</v>
      </c>
      <c r="F3217" s="569">
        <v>2</v>
      </c>
      <c r="G3217" s="594">
        <v>3</v>
      </c>
      <c r="H3217" s="595">
        <f>4.36</f>
        <v>4.3600000000000003</v>
      </c>
      <c r="I3217" s="596"/>
      <c r="J3217" s="597">
        <f t="shared" si="346"/>
        <v>26.160000000000004</v>
      </c>
      <c r="K3217" s="695"/>
    </row>
    <row r="3218" spans="1:11">
      <c r="A3218" s="568"/>
      <c r="B3218" s="593" t="s">
        <v>1406</v>
      </c>
      <c r="C3218" s="599"/>
      <c r="D3218" s="578">
        <v>1</v>
      </c>
      <c r="E3218" s="579" t="s">
        <v>8</v>
      </c>
      <c r="F3218" s="569">
        <v>1</v>
      </c>
      <c r="G3218" s="594">
        <v>3</v>
      </c>
      <c r="H3218" s="595">
        <f>3.13</f>
        <v>3.13</v>
      </c>
      <c r="I3218" s="596"/>
      <c r="J3218" s="597">
        <f t="shared" si="346"/>
        <v>9.39</v>
      </c>
      <c r="K3218" s="695"/>
    </row>
    <row r="3219" spans="1:11">
      <c r="A3219" s="568"/>
      <c r="B3219" s="599"/>
      <c r="C3219" s="599"/>
      <c r="G3219" s="599"/>
      <c r="H3219" s="599"/>
      <c r="I3219" s="599"/>
      <c r="J3219" s="605">
        <f>SUM(J3211:J3218)</f>
        <v>834.11750000000006</v>
      </c>
      <c r="K3219" s="695"/>
    </row>
    <row r="3220" spans="1:11">
      <c r="A3220" s="568"/>
      <c r="B3220" s="622" t="s">
        <v>28</v>
      </c>
      <c r="C3220" s="599"/>
      <c r="G3220" s="599"/>
      <c r="H3220" s="599"/>
      <c r="I3220" s="599"/>
      <c r="J3220" s="605">
        <f>ROUNDUP(J3219,0)</f>
        <v>835</v>
      </c>
      <c r="K3220" s="694" t="s">
        <v>9</v>
      </c>
    </row>
    <row r="3221" spans="1:11">
      <c r="A3221" s="568"/>
      <c r="B3221" s="584" t="s">
        <v>1411</v>
      </c>
      <c r="C3221" s="599"/>
      <c r="G3221" s="599"/>
      <c r="H3221" s="599"/>
      <c r="I3221" s="599"/>
      <c r="J3221" s="605"/>
      <c r="K3221" s="694"/>
    </row>
    <row r="3222" spans="1:11">
      <c r="A3222" s="568"/>
      <c r="B3222" s="593" t="s">
        <v>1405</v>
      </c>
      <c r="C3222" s="599"/>
      <c r="D3222" s="578">
        <v>1</v>
      </c>
      <c r="E3222" s="579" t="s">
        <v>8</v>
      </c>
      <c r="F3222" s="569">
        <v>1</v>
      </c>
      <c r="G3222" s="594">
        <v>33.619999999999997</v>
      </c>
      <c r="H3222" s="595"/>
      <c r="I3222" s="599"/>
      <c r="J3222" s="597">
        <f>PRODUCT(D3222:I3222)</f>
        <v>33.619999999999997</v>
      </c>
      <c r="K3222" s="694"/>
    </row>
    <row r="3223" spans="1:11">
      <c r="A3223" s="568"/>
      <c r="B3223" s="593" t="s">
        <v>1406</v>
      </c>
      <c r="C3223" s="599"/>
      <c r="D3223" s="578">
        <v>1</v>
      </c>
      <c r="E3223" s="579" t="s">
        <v>8</v>
      </c>
      <c r="F3223" s="569">
        <v>1</v>
      </c>
      <c r="G3223" s="594">
        <v>24.09</v>
      </c>
      <c r="H3223" s="599"/>
      <c r="I3223" s="599"/>
      <c r="J3223" s="597">
        <f>PRODUCT(D3223:I3223)</f>
        <v>24.09</v>
      </c>
      <c r="K3223" s="694"/>
    </row>
    <row r="3224" spans="1:11">
      <c r="A3224" s="568"/>
      <c r="B3224" s="599"/>
      <c r="C3224" s="599"/>
      <c r="G3224" s="599"/>
      <c r="H3224" s="599"/>
      <c r="I3224" s="599"/>
      <c r="J3224" s="605">
        <f>SUM(J3222:J3223)</f>
        <v>57.709999999999994</v>
      </c>
      <c r="K3224" s="695"/>
    </row>
    <row r="3225" spans="1:11">
      <c r="A3225" s="568"/>
      <c r="B3225" s="622" t="s">
        <v>28</v>
      </c>
      <c r="C3225" s="599"/>
      <c r="G3225" s="599"/>
      <c r="H3225" s="599"/>
      <c r="I3225" s="599"/>
      <c r="J3225" s="605">
        <f>ROUNDUP(J3224,0)</f>
        <v>58</v>
      </c>
      <c r="K3225" s="694" t="s">
        <v>1412</v>
      </c>
    </row>
    <row r="3226" spans="1:11">
      <c r="A3226" s="568">
        <f>A3160+1</f>
        <v>77</v>
      </c>
      <c r="B3226" s="584" t="s">
        <v>1736</v>
      </c>
      <c r="C3226" s="599"/>
      <c r="G3226" s="599"/>
      <c r="H3226" s="599"/>
      <c r="I3226" s="598"/>
      <c r="J3226" s="598"/>
      <c r="K3226" s="581"/>
    </row>
    <row r="3227" spans="1:11">
      <c r="A3227" s="571">
        <v>1</v>
      </c>
      <c r="B3227" s="584" t="s">
        <v>1738</v>
      </c>
      <c r="C3227" s="599"/>
      <c r="G3227" s="696"/>
      <c r="H3227" s="599"/>
      <c r="I3227" s="598"/>
      <c r="J3227" s="598"/>
      <c r="K3227" s="581"/>
    </row>
    <row r="3228" spans="1:11">
      <c r="A3228" s="568" t="s">
        <v>71</v>
      </c>
      <c r="B3228" s="584" t="s">
        <v>648</v>
      </c>
      <c r="C3228" s="599"/>
      <c r="G3228" s="602"/>
      <c r="H3228" s="603"/>
      <c r="I3228" s="596"/>
      <c r="J3228" s="597"/>
      <c r="K3228" s="599"/>
    </row>
    <row r="3229" spans="1:11">
      <c r="A3229" s="568"/>
      <c r="B3229" s="593" t="s">
        <v>1586</v>
      </c>
      <c r="C3229" s="599"/>
      <c r="G3229" s="600"/>
      <c r="H3229" s="600"/>
      <c r="I3229" s="600"/>
      <c r="J3229" s="597"/>
      <c r="K3229" s="568"/>
    </row>
    <row r="3230" spans="1:11">
      <c r="A3230" s="568"/>
      <c r="B3230" s="593" t="s">
        <v>649</v>
      </c>
      <c r="C3230" s="599"/>
      <c r="D3230" s="578">
        <v>1</v>
      </c>
      <c r="E3230" s="579" t="s">
        <v>8</v>
      </c>
      <c r="F3230" s="569">
        <v>4</v>
      </c>
      <c r="G3230" s="600">
        <v>1.4</v>
      </c>
      <c r="H3230" s="600">
        <v>1.4</v>
      </c>
      <c r="I3230" s="600">
        <v>1.7</v>
      </c>
      <c r="J3230" s="597">
        <f t="shared" ref="J3230:J3235" si="347">PRODUCT(D3230:I3230)</f>
        <v>13.327999999999998</v>
      </c>
      <c r="K3230" s="568"/>
    </row>
    <row r="3231" spans="1:11">
      <c r="A3231" s="568"/>
      <c r="B3231" s="593" t="s">
        <v>650</v>
      </c>
      <c r="C3231" s="599"/>
      <c r="D3231" s="578">
        <v>0</v>
      </c>
      <c r="E3231" s="579" t="s">
        <v>8</v>
      </c>
      <c r="F3231" s="569">
        <v>2</v>
      </c>
      <c r="G3231" s="600">
        <v>1.4</v>
      </c>
      <c r="H3231" s="600">
        <v>1.4</v>
      </c>
      <c r="I3231" s="600">
        <v>1.7</v>
      </c>
      <c r="J3231" s="597">
        <f t="shared" si="347"/>
        <v>0</v>
      </c>
      <c r="K3231" s="568"/>
    </row>
    <row r="3232" spans="1:11">
      <c r="A3232" s="568"/>
      <c r="B3232" s="593" t="s">
        <v>1584</v>
      </c>
      <c r="C3232" s="599"/>
      <c r="D3232" s="578">
        <v>0</v>
      </c>
      <c r="E3232" s="579" t="s">
        <v>8</v>
      </c>
      <c r="F3232" s="569">
        <v>1</v>
      </c>
      <c r="G3232" s="600">
        <v>1.4</v>
      </c>
      <c r="H3232" s="600">
        <v>1.4</v>
      </c>
      <c r="I3232" s="600">
        <v>1.7</v>
      </c>
      <c r="J3232" s="597">
        <f t="shared" si="347"/>
        <v>0</v>
      </c>
      <c r="K3232" s="568"/>
    </row>
    <row r="3233" spans="1:11">
      <c r="A3233" s="568"/>
      <c r="B3233" s="593" t="s">
        <v>651</v>
      </c>
      <c r="C3233" s="599"/>
      <c r="D3233" s="578">
        <v>0</v>
      </c>
      <c r="E3233" s="579" t="s">
        <v>8</v>
      </c>
      <c r="F3233" s="569">
        <v>1</v>
      </c>
      <c r="G3233" s="600">
        <v>1.4</v>
      </c>
      <c r="H3233" s="600">
        <v>1.4</v>
      </c>
      <c r="I3233" s="600">
        <v>1.7</v>
      </c>
      <c r="J3233" s="597">
        <f t="shared" si="347"/>
        <v>0</v>
      </c>
      <c r="K3233" s="568"/>
    </row>
    <row r="3234" spans="1:11">
      <c r="A3234" s="568"/>
      <c r="B3234" s="593" t="s">
        <v>652</v>
      </c>
      <c r="C3234" s="599"/>
      <c r="D3234" s="578">
        <v>0</v>
      </c>
      <c r="E3234" s="579" t="s">
        <v>8</v>
      </c>
      <c r="F3234" s="569">
        <v>1</v>
      </c>
      <c r="G3234" s="600">
        <v>1.4</v>
      </c>
      <c r="H3234" s="600">
        <v>1.4</v>
      </c>
      <c r="I3234" s="600">
        <v>1.7</v>
      </c>
      <c r="J3234" s="597">
        <f t="shared" si="347"/>
        <v>0</v>
      </c>
      <c r="K3234" s="568"/>
    </row>
    <row r="3235" spans="1:11">
      <c r="A3235" s="568"/>
      <c r="B3235" s="593" t="s">
        <v>1585</v>
      </c>
      <c r="C3235" s="599"/>
      <c r="D3235" s="578">
        <v>1</v>
      </c>
      <c r="E3235" s="579" t="s">
        <v>8</v>
      </c>
      <c r="F3235" s="569">
        <v>1</v>
      </c>
      <c r="G3235" s="600">
        <v>1.4</v>
      </c>
      <c r="H3235" s="600">
        <v>1.4</v>
      </c>
      <c r="I3235" s="600">
        <v>1.7</v>
      </c>
      <c r="J3235" s="597">
        <f t="shared" si="347"/>
        <v>3.3319999999999994</v>
      </c>
      <c r="K3235" s="568"/>
    </row>
    <row r="3236" spans="1:11">
      <c r="A3236" s="568"/>
      <c r="B3236" s="593"/>
      <c r="C3236" s="599"/>
      <c r="G3236" s="600"/>
      <c r="H3236" s="600"/>
      <c r="I3236" s="600"/>
      <c r="J3236" s="597"/>
      <c r="K3236" s="568"/>
    </row>
    <row r="3237" spans="1:11">
      <c r="A3237" s="568"/>
      <c r="B3237" s="593" t="s">
        <v>1365</v>
      </c>
      <c r="C3237" s="599"/>
      <c r="G3237" s="600"/>
      <c r="H3237" s="600"/>
      <c r="I3237" s="600"/>
      <c r="J3237" s="597"/>
      <c r="K3237" s="568"/>
    </row>
    <row r="3238" spans="1:11">
      <c r="A3238" s="568"/>
      <c r="B3238" s="593" t="s">
        <v>649</v>
      </c>
      <c r="C3238" s="599"/>
      <c r="D3238" s="578">
        <v>1</v>
      </c>
      <c r="E3238" s="579" t="s">
        <v>8</v>
      </c>
      <c r="F3238" s="569">
        <v>5</v>
      </c>
      <c r="G3238" s="600">
        <v>1.4</v>
      </c>
      <c r="H3238" s="600">
        <v>1.4</v>
      </c>
      <c r="I3238" s="600">
        <v>1.7</v>
      </c>
      <c r="J3238" s="597">
        <f>PRODUCT(D3238:I3238)</f>
        <v>16.659999999999997</v>
      </c>
      <c r="K3238" s="568"/>
    </row>
    <row r="3239" spans="1:11">
      <c r="A3239" s="568"/>
      <c r="B3239" s="593" t="s">
        <v>1585</v>
      </c>
      <c r="C3239" s="599"/>
      <c r="D3239" s="578">
        <v>1</v>
      </c>
      <c r="E3239" s="579" t="s">
        <v>8</v>
      </c>
      <c r="F3239" s="569">
        <v>2</v>
      </c>
      <c r="G3239" s="600">
        <v>1.4</v>
      </c>
      <c r="H3239" s="600">
        <v>1.4</v>
      </c>
      <c r="I3239" s="600">
        <v>1.7</v>
      </c>
      <c r="J3239" s="597">
        <f>PRODUCT(D3239:I3239)</f>
        <v>6.6639999999999988</v>
      </c>
      <c r="K3239" s="568"/>
    </row>
    <row r="3240" spans="1:11">
      <c r="A3240" s="568"/>
      <c r="B3240" s="593" t="s">
        <v>1406</v>
      </c>
      <c r="C3240" s="599"/>
      <c r="G3240" s="600"/>
      <c r="H3240" s="600"/>
      <c r="I3240" s="600"/>
      <c r="J3240" s="597"/>
      <c r="K3240" s="568"/>
    </row>
    <row r="3241" spans="1:11">
      <c r="A3241" s="568"/>
      <c r="B3241" s="593" t="s">
        <v>649</v>
      </c>
      <c r="C3241" s="599"/>
      <c r="D3241" s="578">
        <v>1</v>
      </c>
      <c r="E3241" s="579" t="s">
        <v>8</v>
      </c>
      <c r="F3241" s="569">
        <v>4</v>
      </c>
      <c r="G3241" s="600">
        <v>1.4</v>
      </c>
      <c r="H3241" s="600">
        <v>1.4</v>
      </c>
      <c r="I3241" s="600">
        <v>1.7</v>
      </c>
      <c r="J3241" s="597">
        <f>PRODUCT(D3241:I3241)</f>
        <v>13.327999999999998</v>
      </c>
      <c r="K3241" s="568"/>
    </row>
    <row r="3242" spans="1:11">
      <c r="A3242" s="568"/>
      <c r="B3242" s="593" t="s">
        <v>1585</v>
      </c>
      <c r="C3242" s="599"/>
      <c r="D3242" s="578">
        <v>1</v>
      </c>
      <c r="E3242" s="579" t="s">
        <v>8</v>
      </c>
      <c r="F3242" s="569">
        <v>2</v>
      </c>
      <c r="G3242" s="600">
        <v>1.4</v>
      </c>
      <c r="H3242" s="600">
        <v>1.4</v>
      </c>
      <c r="I3242" s="600">
        <v>1.7</v>
      </c>
      <c r="J3242" s="597">
        <f>PRODUCT(D3242:I3242)</f>
        <v>6.6639999999999988</v>
      </c>
      <c r="K3242" s="568"/>
    </row>
    <row r="3243" spans="1:11">
      <c r="A3243" s="568"/>
      <c r="B3243" s="593" t="s">
        <v>1364</v>
      </c>
      <c r="C3243" s="599"/>
      <c r="G3243" s="600"/>
      <c r="H3243" s="600"/>
      <c r="I3243" s="600"/>
      <c r="J3243" s="597"/>
      <c r="K3243" s="568"/>
    </row>
    <row r="3244" spans="1:11">
      <c r="A3244" s="568"/>
      <c r="B3244" s="593" t="s">
        <v>649</v>
      </c>
      <c r="C3244" s="599"/>
      <c r="D3244" s="578">
        <v>1</v>
      </c>
      <c r="E3244" s="579" t="s">
        <v>8</v>
      </c>
      <c r="F3244" s="569">
        <v>4</v>
      </c>
      <c r="G3244" s="600">
        <v>1.4</v>
      </c>
      <c r="H3244" s="600">
        <v>1.4</v>
      </c>
      <c r="I3244" s="600">
        <v>1.7</v>
      </c>
      <c r="J3244" s="597">
        <f>PRODUCT(D3244:I3244)</f>
        <v>13.327999999999998</v>
      </c>
      <c r="K3244" s="568"/>
    </row>
    <row r="3245" spans="1:11">
      <c r="A3245" s="568"/>
      <c r="B3245" s="593" t="s">
        <v>1585</v>
      </c>
      <c r="C3245" s="599"/>
      <c r="D3245" s="578">
        <v>1</v>
      </c>
      <c r="E3245" s="579" t="s">
        <v>8</v>
      </c>
      <c r="F3245" s="569">
        <v>2</v>
      </c>
      <c r="G3245" s="600">
        <v>1.4</v>
      </c>
      <c r="H3245" s="600">
        <v>1.4</v>
      </c>
      <c r="I3245" s="600">
        <v>1.7</v>
      </c>
      <c r="J3245" s="597">
        <f>PRODUCT(D3245:I3245)</f>
        <v>6.6639999999999988</v>
      </c>
      <c r="K3245" s="568"/>
    </row>
    <row r="3246" spans="1:11">
      <c r="A3246" s="568" t="s">
        <v>70</v>
      </c>
      <c r="B3246" s="584" t="s">
        <v>482</v>
      </c>
      <c r="C3246" s="599"/>
      <c r="G3246" s="600"/>
      <c r="H3246" s="600"/>
      <c r="I3246" s="600"/>
      <c r="J3246" s="568"/>
      <c r="K3246" s="568"/>
    </row>
    <row r="3247" spans="1:11">
      <c r="A3247" s="568"/>
      <c r="B3247" s="593" t="s">
        <v>1363</v>
      </c>
      <c r="C3247" s="599"/>
      <c r="D3247" s="578">
        <v>1</v>
      </c>
      <c r="E3247" s="579" t="s">
        <v>8</v>
      </c>
      <c r="F3247" s="569">
        <v>1</v>
      </c>
      <c r="G3247" s="600">
        <v>32.520000000000003</v>
      </c>
      <c r="H3247" s="600">
        <v>0.45</v>
      </c>
      <c r="I3247" s="600">
        <v>0.55000000000000004</v>
      </c>
      <c r="J3247" s="597">
        <f>PRODUCT(D3247:I3247)</f>
        <v>8.048700000000002</v>
      </c>
      <c r="K3247" s="568"/>
    </row>
    <row r="3248" spans="1:11">
      <c r="A3248" s="568"/>
      <c r="B3248" s="593" t="s">
        <v>1364</v>
      </c>
      <c r="C3248" s="599"/>
      <c r="D3248" s="578">
        <v>1</v>
      </c>
      <c r="E3248" s="579" t="s">
        <v>8</v>
      </c>
      <c r="F3248" s="569">
        <v>1</v>
      </c>
      <c r="G3248" s="600">
        <v>32.520000000000003</v>
      </c>
      <c r="H3248" s="600">
        <v>0.45</v>
      </c>
      <c r="I3248" s="600">
        <v>0.55000000000000004</v>
      </c>
      <c r="J3248" s="597">
        <f>PRODUCT(D3248:I3248)</f>
        <v>8.048700000000002</v>
      </c>
      <c r="K3248" s="568"/>
    </row>
    <row r="3249" spans="1:11">
      <c r="A3249" s="568"/>
      <c r="B3249" s="593" t="s">
        <v>1365</v>
      </c>
      <c r="C3249" s="599"/>
      <c r="D3249" s="578">
        <v>1</v>
      </c>
      <c r="E3249" s="579" t="s">
        <v>8</v>
      </c>
      <c r="F3249" s="569">
        <v>1</v>
      </c>
      <c r="G3249" s="600">
        <v>46.72</v>
      </c>
      <c r="H3249" s="600">
        <v>0.45</v>
      </c>
      <c r="I3249" s="600">
        <v>0.55000000000000004</v>
      </c>
      <c r="J3249" s="597">
        <f>PRODUCT(D3249:I3249)</f>
        <v>11.563200000000002</v>
      </c>
      <c r="K3249" s="568"/>
    </row>
    <row r="3250" spans="1:11">
      <c r="A3250" s="568"/>
      <c r="B3250" s="593" t="s">
        <v>1366</v>
      </c>
      <c r="C3250" s="599"/>
      <c r="D3250" s="578">
        <v>1</v>
      </c>
      <c r="E3250" s="579" t="s">
        <v>8</v>
      </c>
      <c r="F3250" s="569">
        <v>1</v>
      </c>
      <c r="G3250" s="600">
        <f>1.82+2.6+23.95</f>
        <v>28.369999999999997</v>
      </c>
      <c r="H3250" s="600">
        <v>0.45</v>
      </c>
      <c r="I3250" s="600">
        <v>0.55000000000000004</v>
      </c>
      <c r="J3250" s="597">
        <f>PRODUCT(D3250:I3250)</f>
        <v>7.0215750000000003</v>
      </c>
      <c r="K3250" s="568"/>
    </row>
    <row r="3251" spans="1:11">
      <c r="A3251" s="568"/>
      <c r="B3251" s="593"/>
      <c r="C3251" s="599"/>
      <c r="G3251" s="600"/>
      <c r="H3251" s="600"/>
      <c r="I3251" s="600"/>
      <c r="J3251" s="697">
        <f>SUM(J3230:J3250)</f>
        <v>114.65017499999998</v>
      </c>
      <c r="K3251" s="568"/>
    </row>
    <row r="3252" spans="1:11">
      <c r="A3252" s="568"/>
      <c r="B3252" s="622" t="s">
        <v>28</v>
      </c>
      <c r="C3252" s="593"/>
      <c r="G3252" s="598"/>
      <c r="H3252" s="598"/>
      <c r="I3252" s="598"/>
      <c r="J3252" s="605">
        <f>ROUNDUP(J3251,0)</f>
        <v>115</v>
      </c>
      <c r="K3252" s="694" t="s">
        <v>52</v>
      </c>
    </row>
    <row r="3253" spans="1:11">
      <c r="A3253" s="571">
        <v>2</v>
      </c>
      <c r="B3253" s="584" t="s">
        <v>1737</v>
      </c>
      <c r="C3253" s="599"/>
      <c r="G3253" s="698"/>
      <c r="H3253" s="698"/>
      <c r="I3253" s="698"/>
      <c r="J3253" s="605"/>
      <c r="K3253" s="599"/>
    </row>
    <row r="3254" spans="1:11">
      <c r="A3254" s="568" t="s">
        <v>71</v>
      </c>
      <c r="B3254" s="584" t="s">
        <v>648</v>
      </c>
      <c r="C3254" s="599"/>
      <c r="G3254" s="602"/>
      <c r="H3254" s="603"/>
      <c r="I3254" s="596"/>
      <c r="J3254" s="597"/>
      <c r="K3254" s="599"/>
    </row>
    <row r="3255" spans="1:11">
      <c r="A3255" s="568"/>
      <c r="B3255" s="593" t="s">
        <v>1586</v>
      </c>
      <c r="C3255" s="599"/>
      <c r="G3255" s="600"/>
      <c r="H3255" s="600"/>
      <c r="I3255" s="600"/>
      <c r="J3255" s="597"/>
      <c r="K3255" s="568"/>
    </row>
    <row r="3256" spans="1:11">
      <c r="A3256" s="568"/>
      <c r="B3256" s="593" t="s">
        <v>649</v>
      </c>
      <c r="C3256" s="599"/>
      <c r="D3256" s="578">
        <v>1</v>
      </c>
      <c r="E3256" s="579" t="s">
        <v>8</v>
      </c>
      <c r="F3256" s="569">
        <v>4</v>
      </c>
      <c r="G3256" s="600">
        <v>1.4</v>
      </c>
      <c r="H3256" s="600">
        <v>1.4</v>
      </c>
      <c r="I3256" s="600">
        <v>0.1</v>
      </c>
      <c r="J3256" s="597">
        <f t="shared" ref="J3256:J3261" si="348">PRODUCT(D3256:I3256)</f>
        <v>0.78399999999999992</v>
      </c>
      <c r="K3256" s="568"/>
    </row>
    <row r="3257" spans="1:11">
      <c r="A3257" s="568"/>
      <c r="B3257" s="593" t="s">
        <v>650</v>
      </c>
      <c r="C3257" s="599"/>
      <c r="D3257" s="578">
        <v>0</v>
      </c>
      <c r="E3257" s="579" t="s">
        <v>8</v>
      </c>
      <c r="F3257" s="569">
        <v>2</v>
      </c>
      <c r="G3257" s="600">
        <v>1.4</v>
      </c>
      <c r="H3257" s="600">
        <v>1.4</v>
      </c>
      <c r="I3257" s="600">
        <v>0.1</v>
      </c>
      <c r="J3257" s="597">
        <f t="shared" si="348"/>
        <v>0</v>
      </c>
      <c r="K3257" s="568"/>
    </row>
    <row r="3258" spans="1:11">
      <c r="A3258" s="568"/>
      <c r="B3258" s="593" t="s">
        <v>1584</v>
      </c>
      <c r="C3258" s="599"/>
      <c r="D3258" s="578">
        <v>0</v>
      </c>
      <c r="E3258" s="579" t="s">
        <v>8</v>
      </c>
      <c r="F3258" s="569">
        <v>1</v>
      </c>
      <c r="G3258" s="600">
        <v>1.4</v>
      </c>
      <c r="H3258" s="600">
        <v>1.4</v>
      </c>
      <c r="I3258" s="600">
        <v>0.1</v>
      </c>
      <c r="J3258" s="597">
        <f t="shared" si="348"/>
        <v>0</v>
      </c>
      <c r="K3258" s="568"/>
    </row>
    <row r="3259" spans="1:11">
      <c r="A3259" s="568"/>
      <c r="B3259" s="593" t="s">
        <v>651</v>
      </c>
      <c r="C3259" s="599"/>
      <c r="D3259" s="578">
        <v>0</v>
      </c>
      <c r="E3259" s="579" t="s">
        <v>8</v>
      </c>
      <c r="F3259" s="569">
        <v>1</v>
      </c>
      <c r="G3259" s="600">
        <v>1.4</v>
      </c>
      <c r="H3259" s="600">
        <v>1.4</v>
      </c>
      <c r="I3259" s="600">
        <v>0.1</v>
      </c>
      <c r="J3259" s="597">
        <f t="shared" si="348"/>
        <v>0</v>
      </c>
      <c r="K3259" s="568"/>
    </row>
    <row r="3260" spans="1:11">
      <c r="A3260" s="568"/>
      <c r="B3260" s="593" t="s">
        <v>652</v>
      </c>
      <c r="C3260" s="599"/>
      <c r="D3260" s="578">
        <v>0</v>
      </c>
      <c r="E3260" s="579" t="s">
        <v>8</v>
      </c>
      <c r="F3260" s="569">
        <v>1</v>
      </c>
      <c r="G3260" s="600">
        <v>1.4</v>
      </c>
      <c r="H3260" s="600">
        <v>1.4</v>
      </c>
      <c r="I3260" s="600">
        <v>0.1</v>
      </c>
      <c r="J3260" s="597">
        <f t="shared" si="348"/>
        <v>0</v>
      </c>
      <c r="K3260" s="568"/>
    </row>
    <row r="3261" spans="1:11">
      <c r="A3261" s="568"/>
      <c r="B3261" s="593" t="s">
        <v>1585</v>
      </c>
      <c r="C3261" s="599"/>
      <c r="D3261" s="578">
        <v>1</v>
      </c>
      <c r="E3261" s="579" t="s">
        <v>8</v>
      </c>
      <c r="F3261" s="569">
        <v>1</v>
      </c>
      <c r="G3261" s="600">
        <v>1.4</v>
      </c>
      <c r="H3261" s="600">
        <v>1.4</v>
      </c>
      <c r="I3261" s="600">
        <v>0.1</v>
      </c>
      <c r="J3261" s="597">
        <f t="shared" si="348"/>
        <v>0.19599999999999998</v>
      </c>
      <c r="K3261" s="568"/>
    </row>
    <row r="3262" spans="1:11">
      <c r="A3262" s="568"/>
      <c r="B3262" s="593"/>
      <c r="C3262" s="599"/>
      <c r="G3262" s="600"/>
      <c r="H3262" s="600"/>
      <c r="I3262" s="600"/>
      <c r="J3262" s="597"/>
      <c r="K3262" s="568"/>
    </row>
    <row r="3263" spans="1:11">
      <c r="A3263" s="568"/>
      <c r="B3263" s="593" t="s">
        <v>1365</v>
      </c>
      <c r="C3263" s="599"/>
      <c r="G3263" s="600"/>
      <c r="H3263" s="600"/>
      <c r="I3263" s="600"/>
      <c r="J3263" s="597"/>
      <c r="K3263" s="568"/>
    </row>
    <row r="3264" spans="1:11">
      <c r="A3264" s="568"/>
      <c r="B3264" s="593" t="s">
        <v>649</v>
      </c>
      <c r="C3264" s="599"/>
      <c r="D3264" s="578">
        <v>1</v>
      </c>
      <c r="E3264" s="579" t="s">
        <v>8</v>
      </c>
      <c r="F3264" s="569">
        <v>5</v>
      </c>
      <c r="G3264" s="600">
        <v>1.4</v>
      </c>
      <c r="H3264" s="600">
        <v>1.4</v>
      </c>
      <c r="I3264" s="600">
        <v>0.1</v>
      </c>
      <c r="J3264" s="597">
        <f>PRODUCT(D3264:I3264)</f>
        <v>0.98</v>
      </c>
      <c r="K3264" s="568"/>
    </row>
    <row r="3265" spans="1:11">
      <c r="A3265" s="568"/>
      <c r="B3265" s="593" t="s">
        <v>1585</v>
      </c>
      <c r="C3265" s="599"/>
      <c r="D3265" s="578">
        <v>1</v>
      </c>
      <c r="E3265" s="579" t="s">
        <v>8</v>
      </c>
      <c r="F3265" s="569">
        <v>2</v>
      </c>
      <c r="G3265" s="600">
        <v>2.2999999999999998</v>
      </c>
      <c r="H3265" s="600">
        <v>2.2999999999999998</v>
      </c>
      <c r="I3265" s="600">
        <v>0.1</v>
      </c>
      <c r="J3265" s="597">
        <f>PRODUCT(D3265:I3265)</f>
        <v>1.0579999999999998</v>
      </c>
      <c r="K3265" s="568"/>
    </row>
    <row r="3266" spans="1:11">
      <c r="A3266" s="568"/>
      <c r="B3266" s="593" t="s">
        <v>1406</v>
      </c>
      <c r="C3266" s="599"/>
      <c r="G3266" s="600"/>
      <c r="H3266" s="600"/>
      <c r="I3266" s="600"/>
      <c r="J3266" s="597"/>
      <c r="K3266" s="568"/>
    </row>
    <row r="3267" spans="1:11">
      <c r="A3267" s="568"/>
      <c r="B3267" s="593" t="s">
        <v>649</v>
      </c>
      <c r="C3267" s="599"/>
      <c r="D3267" s="578">
        <v>1</v>
      </c>
      <c r="E3267" s="579" t="s">
        <v>8</v>
      </c>
      <c r="F3267" s="569">
        <v>4</v>
      </c>
      <c r="G3267" s="600">
        <v>1.4</v>
      </c>
      <c r="H3267" s="600">
        <v>1.4</v>
      </c>
      <c r="I3267" s="600">
        <v>0.1</v>
      </c>
      <c r="J3267" s="597">
        <f>PRODUCT(D3267:I3267)</f>
        <v>0.78399999999999992</v>
      </c>
      <c r="K3267" s="568"/>
    </row>
    <row r="3268" spans="1:11">
      <c r="A3268" s="568"/>
      <c r="B3268" s="593" t="s">
        <v>1585</v>
      </c>
      <c r="C3268" s="599"/>
      <c r="D3268" s="578">
        <v>1</v>
      </c>
      <c r="E3268" s="579" t="s">
        <v>8</v>
      </c>
      <c r="F3268" s="569">
        <v>2</v>
      </c>
      <c r="G3268" s="600">
        <v>1.4</v>
      </c>
      <c r="H3268" s="600">
        <v>1.4</v>
      </c>
      <c r="I3268" s="600">
        <v>0.1</v>
      </c>
      <c r="J3268" s="597">
        <f>PRODUCT(D3268:I3268)</f>
        <v>0.39199999999999996</v>
      </c>
      <c r="K3268" s="568"/>
    </row>
    <row r="3269" spans="1:11">
      <c r="A3269" s="568"/>
      <c r="B3269" s="593" t="s">
        <v>1364</v>
      </c>
      <c r="C3269" s="599"/>
      <c r="G3269" s="600"/>
      <c r="H3269" s="600"/>
      <c r="I3269" s="600"/>
      <c r="J3269" s="597"/>
      <c r="K3269" s="568"/>
    </row>
    <row r="3270" spans="1:11">
      <c r="A3270" s="568"/>
      <c r="B3270" s="593" t="s">
        <v>649</v>
      </c>
      <c r="C3270" s="599"/>
      <c r="D3270" s="578">
        <v>1</v>
      </c>
      <c r="E3270" s="579" t="s">
        <v>8</v>
      </c>
      <c r="F3270" s="569">
        <v>4</v>
      </c>
      <c r="G3270" s="600">
        <v>1.4</v>
      </c>
      <c r="H3270" s="600">
        <v>1.4</v>
      </c>
      <c r="I3270" s="600">
        <v>0.1</v>
      </c>
      <c r="J3270" s="597">
        <f>PRODUCT(D3270:I3270)</f>
        <v>0.78399999999999992</v>
      </c>
      <c r="K3270" s="568"/>
    </row>
    <row r="3271" spans="1:11">
      <c r="A3271" s="568"/>
      <c r="B3271" s="593" t="s">
        <v>1585</v>
      </c>
      <c r="C3271" s="599"/>
      <c r="D3271" s="578">
        <v>1</v>
      </c>
      <c r="E3271" s="579" t="s">
        <v>8</v>
      </c>
      <c r="F3271" s="569">
        <v>2</v>
      </c>
      <c r="G3271" s="600">
        <v>1.4</v>
      </c>
      <c r="H3271" s="600">
        <v>1.4</v>
      </c>
      <c r="I3271" s="600">
        <v>0.1</v>
      </c>
      <c r="J3271" s="597">
        <f>PRODUCT(D3271:I3271)</f>
        <v>0.39199999999999996</v>
      </c>
      <c r="K3271" s="568"/>
    </row>
    <row r="3272" spans="1:11">
      <c r="A3272" s="568" t="s">
        <v>70</v>
      </c>
      <c r="B3272" s="584" t="s">
        <v>482</v>
      </c>
      <c r="C3272" s="599"/>
      <c r="G3272" s="600"/>
      <c r="H3272" s="600"/>
      <c r="I3272" s="600"/>
      <c r="J3272" s="568"/>
      <c r="K3272" s="568"/>
    </row>
    <row r="3273" spans="1:11">
      <c r="A3273" s="568"/>
      <c r="B3273" s="593" t="s">
        <v>1363</v>
      </c>
      <c r="C3273" s="599"/>
      <c r="D3273" s="578">
        <v>1</v>
      </c>
      <c r="E3273" s="579" t="s">
        <v>8</v>
      </c>
      <c r="F3273" s="569">
        <v>1</v>
      </c>
      <c r="G3273" s="600">
        <v>32.520000000000003</v>
      </c>
      <c r="H3273" s="600">
        <v>0.45</v>
      </c>
      <c r="I3273" s="600">
        <v>0.1</v>
      </c>
      <c r="J3273" s="597">
        <f>PRODUCT(D3273:I3273)</f>
        <v>1.4634000000000003</v>
      </c>
      <c r="K3273" s="568"/>
    </row>
    <row r="3274" spans="1:11">
      <c r="A3274" s="568"/>
      <c r="B3274" s="593" t="s">
        <v>1364</v>
      </c>
      <c r="C3274" s="599"/>
      <c r="D3274" s="578">
        <v>1</v>
      </c>
      <c r="E3274" s="579" t="s">
        <v>8</v>
      </c>
      <c r="F3274" s="569">
        <v>1</v>
      </c>
      <c r="G3274" s="600">
        <v>32.520000000000003</v>
      </c>
      <c r="H3274" s="600">
        <v>0.45</v>
      </c>
      <c r="I3274" s="600">
        <v>0.1</v>
      </c>
      <c r="J3274" s="597">
        <f t="shared" ref="J3274:J3276" si="349">PRODUCT(D3274:I3274)</f>
        <v>1.4634000000000003</v>
      </c>
      <c r="K3274" s="568"/>
    </row>
    <row r="3275" spans="1:11">
      <c r="A3275" s="568"/>
      <c r="B3275" s="593" t="s">
        <v>1365</v>
      </c>
      <c r="C3275" s="599"/>
      <c r="D3275" s="578">
        <v>1</v>
      </c>
      <c r="E3275" s="579" t="s">
        <v>8</v>
      </c>
      <c r="F3275" s="569">
        <v>1</v>
      </c>
      <c r="G3275" s="600">
        <v>46.72</v>
      </c>
      <c r="H3275" s="600">
        <v>0.45</v>
      </c>
      <c r="I3275" s="600">
        <v>0.1</v>
      </c>
      <c r="J3275" s="597">
        <f t="shared" si="349"/>
        <v>2.1024000000000003</v>
      </c>
      <c r="K3275" s="568"/>
    </row>
    <row r="3276" spans="1:11">
      <c r="A3276" s="568"/>
      <c r="B3276" s="593" t="s">
        <v>1366</v>
      </c>
      <c r="C3276" s="599"/>
      <c r="D3276" s="578">
        <v>1</v>
      </c>
      <c r="E3276" s="579" t="s">
        <v>8</v>
      </c>
      <c r="F3276" s="569">
        <v>1</v>
      </c>
      <c r="G3276" s="600">
        <f>1.82+2.6+23.95</f>
        <v>28.369999999999997</v>
      </c>
      <c r="H3276" s="600">
        <v>0.45</v>
      </c>
      <c r="I3276" s="600">
        <v>0.1</v>
      </c>
      <c r="J3276" s="597">
        <f t="shared" si="349"/>
        <v>1.2766500000000001</v>
      </c>
      <c r="K3276" s="568"/>
    </row>
    <row r="3277" spans="1:11">
      <c r="A3277" s="568"/>
      <c r="B3277" s="593"/>
      <c r="C3277" s="599"/>
      <c r="G3277" s="604"/>
      <c r="H3277" s="600"/>
      <c r="I3277" s="600"/>
      <c r="J3277" s="697">
        <f>SUM(J3256:J3276)</f>
        <v>11.675850000000001</v>
      </c>
      <c r="K3277" s="568"/>
    </row>
    <row r="3278" spans="1:11">
      <c r="A3278" s="568"/>
      <c r="B3278" s="622" t="s">
        <v>28</v>
      </c>
      <c r="C3278" s="599"/>
      <c r="G3278" s="604"/>
      <c r="H3278" s="600"/>
      <c r="I3278" s="600"/>
      <c r="J3278" s="605">
        <f>ROUNDUP(J3277,0)</f>
        <v>12</v>
      </c>
      <c r="K3278" s="694" t="s">
        <v>52</v>
      </c>
    </row>
    <row r="3279" spans="1:11">
      <c r="A3279" s="571">
        <v>3</v>
      </c>
      <c r="B3279" s="584" t="s">
        <v>494</v>
      </c>
      <c r="C3279" s="599"/>
      <c r="G3279" s="604"/>
      <c r="H3279" s="600"/>
      <c r="I3279" s="600"/>
      <c r="J3279" s="597"/>
      <c r="K3279" s="568"/>
    </row>
    <row r="3280" spans="1:11">
      <c r="A3280" s="568" t="s">
        <v>71</v>
      </c>
      <c r="B3280" s="584" t="s">
        <v>648</v>
      </c>
      <c r="C3280" s="599"/>
      <c r="G3280" s="602"/>
      <c r="H3280" s="603"/>
      <c r="I3280" s="596"/>
      <c r="J3280" s="597"/>
      <c r="K3280" s="599"/>
    </row>
    <row r="3281" spans="1:11">
      <c r="A3281" s="568"/>
      <c r="B3281" s="593" t="s">
        <v>1586</v>
      </c>
      <c r="C3281" s="599"/>
      <c r="G3281" s="600"/>
      <c r="H3281" s="600"/>
      <c r="I3281" s="600"/>
      <c r="J3281" s="597"/>
      <c r="K3281" s="568"/>
    </row>
    <row r="3282" spans="1:11">
      <c r="A3282" s="568"/>
      <c r="B3282" s="593" t="s">
        <v>649</v>
      </c>
      <c r="C3282" s="599"/>
      <c r="D3282" s="578">
        <v>1</v>
      </c>
      <c r="E3282" s="579" t="s">
        <v>8</v>
      </c>
      <c r="F3282" s="569">
        <v>4</v>
      </c>
      <c r="G3282" s="600">
        <v>1.4</v>
      </c>
      <c r="H3282" s="600">
        <v>1.4</v>
      </c>
      <c r="I3282" s="600">
        <v>0.1</v>
      </c>
      <c r="J3282" s="597">
        <f t="shared" ref="J3282:J3287" si="350">PRODUCT(D3282:I3282)</f>
        <v>0.78399999999999992</v>
      </c>
      <c r="K3282" s="568"/>
    </row>
    <row r="3283" spans="1:11">
      <c r="A3283" s="568"/>
      <c r="B3283" s="593" t="s">
        <v>650</v>
      </c>
      <c r="C3283" s="599"/>
      <c r="D3283" s="578">
        <v>0</v>
      </c>
      <c r="E3283" s="579" t="s">
        <v>8</v>
      </c>
      <c r="F3283" s="569">
        <v>2</v>
      </c>
      <c r="G3283" s="600">
        <v>1.4</v>
      </c>
      <c r="H3283" s="600">
        <v>1.4</v>
      </c>
      <c r="I3283" s="600">
        <v>0.1</v>
      </c>
      <c r="J3283" s="597">
        <f t="shared" si="350"/>
        <v>0</v>
      </c>
      <c r="K3283" s="568"/>
    </row>
    <row r="3284" spans="1:11">
      <c r="A3284" s="568"/>
      <c r="B3284" s="593" t="s">
        <v>1584</v>
      </c>
      <c r="C3284" s="599"/>
      <c r="D3284" s="578">
        <v>0</v>
      </c>
      <c r="E3284" s="579" t="s">
        <v>8</v>
      </c>
      <c r="F3284" s="569">
        <v>1</v>
      </c>
      <c r="G3284" s="600">
        <v>1.4</v>
      </c>
      <c r="H3284" s="600">
        <v>1.4</v>
      </c>
      <c r="I3284" s="600">
        <v>0.1</v>
      </c>
      <c r="J3284" s="597">
        <f t="shared" si="350"/>
        <v>0</v>
      </c>
      <c r="K3284" s="568"/>
    </row>
    <row r="3285" spans="1:11">
      <c r="A3285" s="568"/>
      <c r="B3285" s="593" t="s">
        <v>651</v>
      </c>
      <c r="C3285" s="599"/>
      <c r="D3285" s="578">
        <v>0</v>
      </c>
      <c r="E3285" s="579" t="s">
        <v>8</v>
      </c>
      <c r="F3285" s="569">
        <v>1</v>
      </c>
      <c r="G3285" s="600">
        <v>1.4</v>
      </c>
      <c r="H3285" s="600">
        <v>1.4</v>
      </c>
      <c r="I3285" s="600">
        <v>0.1</v>
      </c>
      <c r="J3285" s="597">
        <f t="shared" si="350"/>
        <v>0</v>
      </c>
      <c r="K3285" s="568"/>
    </row>
    <row r="3286" spans="1:11">
      <c r="A3286" s="568"/>
      <c r="B3286" s="593" t="s">
        <v>652</v>
      </c>
      <c r="C3286" s="599"/>
      <c r="D3286" s="578">
        <v>0</v>
      </c>
      <c r="E3286" s="579" t="s">
        <v>8</v>
      </c>
      <c r="F3286" s="569">
        <v>1</v>
      </c>
      <c r="G3286" s="600">
        <v>1.4</v>
      </c>
      <c r="H3286" s="600">
        <v>1.4</v>
      </c>
      <c r="I3286" s="600">
        <v>0.1</v>
      </c>
      <c r="J3286" s="597">
        <f t="shared" si="350"/>
        <v>0</v>
      </c>
      <c r="K3286" s="568"/>
    </row>
    <row r="3287" spans="1:11">
      <c r="A3287" s="568"/>
      <c r="B3287" s="593" t="s">
        <v>1585</v>
      </c>
      <c r="C3287" s="599"/>
      <c r="D3287" s="578">
        <v>1</v>
      </c>
      <c r="E3287" s="579" t="s">
        <v>8</v>
      </c>
      <c r="F3287" s="569">
        <v>1</v>
      </c>
      <c r="G3287" s="600">
        <v>1.4</v>
      </c>
      <c r="H3287" s="600">
        <v>1.4</v>
      </c>
      <c r="I3287" s="600">
        <v>0.1</v>
      </c>
      <c r="J3287" s="597">
        <f t="shared" si="350"/>
        <v>0.19599999999999998</v>
      </c>
      <c r="K3287" s="568"/>
    </row>
    <row r="3288" spans="1:11">
      <c r="A3288" s="568"/>
      <c r="B3288" s="593"/>
      <c r="C3288" s="599"/>
      <c r="G3288" s="600"/>
      <c r="H3288" s="600"/>
      <c r="I3288" s="600"/>
      <c r="J3288" s="597"/>
      <c r="K3288" s="568"/>
    </row>
    <row r="3289" spans="1:11">
      <c r="A3289" s="568"/>
      <c r="B3289" s="593" t="s">
        <v>1365</v>
      </c>
      <c r="C3289" s="599"/>
      <c r="G3289" s="600"/>
      <c r="H3289" s="600"/>
      <c r="I3289" s="600"/>
      <c r="J3289" s="597"/>
      <c r="K3289" s="568"/>
    </row>
    <row r="3290" spans="1:11">
      <c r="A3290" s="568"/>
      <c r="B3290" s="593" t="s">
        <v>649</v>
      </c>
      <c r="C3290" s="599"/>
      <c r="D3290" s="578">
        <v>1</v>
      </c>
      <c r="E3290" s="579" t="s">
        <v>8</v>
      </c>
      <c r="F3290" s="569">
        <v>5</v>
      </c>
      <c r="G3290" s="600">
        <v>1.4</v>
      </c>
      <c r="H3290" s="600">
        <v>1.4</v>
      </c>
      <c r="I3290" s="600">
        <v>0.1</v>
      </c>
      <c r="J3290" s="597">
        <f>PRODUCT(D3290:I3290)</f>
        <v>0.98</v>
      </c>
      <c r="K3290" s="568"/>
    </row>
    <row r="3291" spans="1:11">
      <c r="A3291" s="568"/>
      <c r="B3291" s="593" t="s">
        <v>1585</v>
      </c>
      <c r="C3291" s="599"/>
      <c r="D3291" s="578">
        <v>1</v>
      </c>
      <c r="E3291" s="579" t="s">
        <v>8</v>
      </c>
      <c r="F3291" s="569">
        <v>2</v>
      </c>
      <c r="G3291" s="600">
        <v>1.4</v>
      </c>
      <c r="H3291" s="600">
        <v>1.4</v>
      </c>
      <c r="I3291" s="600">
        <v>0.1</v>
      </c>
      <c r="J3291" s="597">
        <f>PRODUCT(D3291:I3291)</f>
        <v>0.39199999999999996</v>
      </c>
      <c r="K3291" s="568"/>
    </row>
    <row r="3292" spans="1:11">
      <c r="A3292" s="568"/>
      <c r="B3292" s="593" t="s">
        <v>1406</v>
      </c>
      <c r="C3292" s="599"/>
      <c r="G3292" s="600"/>
      <c r="H3292" s="600"/>
      <c r="I3292" s="600"/>
      <c r="J3292" s="597"/>
      <c r="K3292" s="568"/>
    </row>
    <row r="3293" spans="1:11">
      <c r="A3293" s="568"/>
      <c r="B3293" s="593" t="s">
        <v>649</v>
      </c>
      <c r="C3293" s="599"/>
      <c r="D3293" s="578">
        <v>1</v>
      </c>
      <c r="E3293" s="579" t="s">
        <v>8</v>
      </c>
      <c r="F3293" s="569">
        <v>4</v>
      </c>
      <c r="G3293" s="600">
        <v>1.4</v>
      </c>
      <c r="H3293" s="600">
        <v>1.4</v>
      </c>
      <c r="I3293" s="600">
        <v>0.1</v>
      </c>
      <c r="J3293" s="597">
        <f>PRODUCT(D3293:I3293)</f>
        <v>0.78399999999999992</v>
      </c>
      <c r="K3293" s="568"/>
    </row>
    <row r="3294" spans="1:11">
      <c r="A3294" s="568"/>
      <c r="B3294" s="593" t="s">
        <v>1585</v>
      </c>
      <c r="C3294" s="599"/>
      <c r="D3294" s="578">
        <v>1</v>
      </c>
      <c r="E3294" s="579" t="s">
        <v>8</v>
      </c>
      <c r="F3294" s="569">
        <v>2</v>
      </c>
      <c r="G3294" s="600">
        <v>1.4</v>
      </c>
      <c r="H3294" s="600">
        <v>1.4</v>
      </c>
      <c r="I3294" s="600">
        <v>0.1</v>
      </c>
      <c r="J3294" s="597">
        <f>PRODUCT(D3294:I3294)</f>
        <v>0.39199999999999996</v>
      </c>
      <c r="K3294" s="568"/>
    </row>
    <row r="3295" spans="1:11">
      <c r="A3295" s="568"/>
      <c r="B3295" s="593" t="s">
        <v>1364</v>
      </c>
      <c r="C3295" s="599"/>
      <c r="G3295" s="600"/>
      <c r="H3295" s="600"/>
      <c r="I3295" s="600"/>
      <c r="J3295" s="597"/>
      <c r="K3295" s="568"/>
    </row>
    <row r="3296" spans="1:11">
      <c r="A3296" s="568"/>
      <c r="B3296" s="593" t="s">
        <v>649</v>
      </c>
      <c r="C3296" s="599"/>
      <c r="D3296" s="578">
        <v>1</v>
      </c>
      <c r="E3296" s="579" t="s">
        <v>8</v>
      </c>
      <c r="F3296" s="569">
        <v>4</v>
      </c>
      <c r="G3296" s="600">
        <v>1.4</v>
      </c>
      <c r="H3296" s="600">
        <v>1.4</v>
      </c>
      <c r="I3296" s="600">
        <v>0.1</v>
      </c>
      <c r="J3296" s="597">
        <f>PRODUCT(D3296:I3296)</f>
        <v>0.78399999999999992</v>
      </c>
      <c r="K3296" s="568"/>
    </row>
    <row r="3297" spans="1:11">
      <c r="A3297" s="568"/>
      <c r="B3297" s="593" t="s">
        <v>1585</v>
      </c>
      <c r="C3297" s="599"/>
      <c r="D3297" s="578">
        <v>1</v>
      </c>
      <c r="E3297" s="579" t="s">
        <v>8</v>
      </c>
      <c r="F3297" s="569">
        <v>2</v>
      </c>
      <c r="G3297" s="600">
        <v>1.4</v>
      </c>
      <c r="H3297" s="600">
        <v>1.4</v>
      </c>
      <c r="I3297" s="600">
        <v>0.1</v>
      </c>
      <c r="J3297" s="597">
        <f>PRODUCT(D3297:I3297)</f>
        <v>0.39199999999999996</v>
      </c>
      <c r="K3297" s="568"/>
    </row>
    <row r="3298" spans="1:11">
      <c r="A3298" s="568" t="s">
        <v>70</v>
      </c>
      <c r="B3298" s="584" t="s">
        <v>482</v>
      </c>
      <c r="C3298" s="599"/>
      <c r="G3298" s="600"/>
      <c r="H3298" s="600"/>
      <c r="I3298" s="600"/>
      <c r="J3298" s="568"/>
      <c r="K3298" s="568"/>
    </row>
    <row r="3299" spans="1:11">
      <c r="A3299" s="568"/>
      <c r="B3299" s="593" t="s">
        <v>1363</v>
      </c>
      <c r="C3299" s="599"/>
      <c r="D3299" s="578">
        <v>1</v>
      </c>
      <c r="E3299" s="579" t="s">
        <v>8</v>
      </c>
      <c r="F3299" s="569">
        <v>1</v>
      </c>
      <c r="G3299" s="600">
        <v>32.520000000000003</v>
      </c>
      <c r="H3299" s="600">
        <v>0.45</v>
      </c>
      <c r="I3299" s="600">
        <v>0.1</v>
      </c>
      <c r="J3299" s="597">
        <f>PRODUCT(D3299:I3299)</f>
        <v>1.4634000000000003</v>
      </c>
      <c r="K3299" s="568"/>
    </row>
    <row r="3300" spans="1:11">
      <c r="A3300" s="568"/>
      <c r="B3300" s="593" t="s">
        <v>1364</v>
      </c>
      <c r="C3300" s="599"/>
      <c r="D3300" s="578">
        <v>1</v>
      </c>
      <c r="E3300" s="579" t="s">
        <v>8</v>
      </c>
      <c r="F3300" s="569">
        <v>1</v>
      </c>
      <c r="G3300" s="600">
        <v>32.520000000000003</v>
      </c>
      <c r="H3300" s="600">
        <v>0.45</v>
      </c>
      <c r="I3300" s="600">
        <v>0.1</v>
      </c>
      <c r="J3300" s="597">
        <f t="shared" ref="J3300:J3302" si="351">PRODUCT(D3300:I3300)</f>
        <v>1.4634000000000003</v>
      </c>
      <c r="K3300" s="568"/>
    </row>
    <row r="3301" spans="1:11">
      <c r="A3301" s="568"/>
      <c r="B3301" s="593" t="s">
        <v>1365</v>
      </c>
      <c r="C3301" s="599"/>
      <c r="D3301" s="578">
        <v>1</v>
      </c>
      <c r="E3301" s="579" t="s">
        <v>8</v>
      </c>
      <c r="F3301" s="569">
        <v>1</v>
      </c>
      <c r="G3301" s="600">
        <v>46.72</v>
      </c>
      <c r="H3301" s="600">
        <v>0.45</v>
      </c>
      <c r="I3301" s="600">
        <v>0.1</v>
      </c>
      <c r="J3301" s="597">
        <f t="shared" si="351"/>
        <v>2.1024000000000003</v>
      </c>
      <c r="K3301" s="568"/>
    </row>
    <row r="3302" spans="1:11">
      <c r="A3302" s="568"/>
      <c r="B3302" s="593" t="s">
        <v>1366</v>
      </c>
      <c r="C3302" s="599"/>
      <c r="D3302" s="578">
        <v>1</v>
      </c>
      <c r="E3302" s="579" t="s">
        <v>8</v>
      </c>
      <c r="F3302" s="569">
        <v>1</v>
      </c>
      <c r="G3302" s="600">
        <f>1.82+2.6+23.95</f>
        <v>28.369999999999997</v>
      </c>
      <c r="H3302" s="600">
        <v>0.45</v>
      </c>
      <c r="I3302" s="600">
        <v>0.1</v>
      </c>
      <c r="J3302" s="597">
        <f t="shared" si="351"/>
        <v>1.2766500000000001</v>
      </c>
      <c r="K3302" s="568"/>
    </row>
    <row r="3303" spans="1:11">
      <c r="A3303" s="568"/>
      <c r="B3303" s="593"/>
      <c r="C3303" s="599"/>
      <c r="G3303" s="600"/>
      <c r="H3303" s="600"/>
      <c r="I3303" s="600"/>
      <c r="J3303" s="697">
        <f>SUM(J3282:J3302)</f>
        <v>11.00985</v>
      </c>
      <c r="K3303" s="568"/>
    </row>
    <row r="3304" spans="1:11">
      <c r="A3304" s="568"/>
      <c r="B3304" s="622" t="s">
        <v>28</v>
      </c>
      <c r="C3304" s="599"/>
      <c r="G3304" s="604"/>
      <c r="H3304" s="600"/>
      <c r="I3304" s="600"/>
      <c r="J3304" s="605">
        <f>ROUNDUP(J3303,0)</f>
        <v>12</v>
      </c>
      <c r="K3304" s="694" t="s">
        <v>52</v>
      </c>
    </row>
    <row r="3305" spans="1:11">
      <c r="A3305" s="568">
        <v>4</v>
      </c>
      <c r="B3305" s="584" t="s">
        <v>1739</v>
      </c>
      <c r="C3305" s="599"/>
      <c r="G3305" s="600"/>
      <c r="H3305" s="600"/>
      <c r="I3305" s="600"/>
      <c r="J3305" s="597"/>
      <c r="K3305" s="568"/>
    </row>
    <row r="3306" spans="1:11">
      <c r="A3306" s="568" t="s">
        <v>71</v>
      </c>
      <c r="B3306" s="584" t="s">
        <v>648</v>
      </c>
      <c r="C3306" s="599"/>
      <c r="G3306" s="698"/>
      <c r="H3306" s="698"/>
      <c r="I3306" s="698"/>
      <c r="J3306" s="605"/>
      <c r="K3306" s="592"/>
    </row>
    <row r="3307" spans="1:11">
      <c r="A3307" s="568"/>
      <c r="B3307" s="593" t="s">
        <v>1586</v>
      </c>
      <c r="C3307" s="599"/>
      <c r="G3307" s="600"/>
      <c r="H3307" s="600"/>
      <c r="I3307" s="600"/>
      <c r="J3307" s="597"/>
      <c r="K3307" s="592"/>
    </row>
    <row r="3308" spans="1:11">
      <c r="A3308" s="568"/>
      <c r="B3308" s="593" t="s">
        <v>649</v>
      </c>
      <c r="C3308" s="599"/>
      <c r="D3308" s="578">
        <v>1</v>
      </c>
      <c r="E3308" s="579" t="s">
        <v>8</v>
      </c>
      <c r="F3308" s="569">
        <v>4</v>
      </c>
      <c r="G3308" s="600">
        <v>1.2</v>
      </c>
      <c r="H3308" s="600">
        <v>1.2</v>
      </c>
      <c r="I3308" s="600">
        <v>0.45</v>
      </c>
      <c r="J3308" s="597">
        <f t="shared" ref="J3308:J3313" si="352">PRODUCT(D3308:I3308)</f>
        <v>2.5920000000000001</v>
      </c>
      <c r="K3308" s="592"/>
    </row>
    <row r="3309" spans="1:11">
      <c r="A3309" s="568"/>
      <c r="B3309" s="593" t="s">
        <v>650</v>
      </c>
      <c r="C3309" s="599"/>
      <c r="D3309" s="578">
        <v>0</v>
      </c>
      <c r="E3309" s="579" t="s">
        <v>8</v>
      </c>
      <c r="F3309" s="569">
        <v>2</v>
      </c>
      <c r="G3309" s="600">
        <v>1.2</v>
      </c>
      <c r="H3309" s="600">
        <v>1.2</v>
      </c>
      <c r="I3309" s="600">
        <v>0.85</v>
      </c>
      <c r="J3309" s="597">
        <f t="shared" si="352"/>
        <v>0</v>
      </c>
      <c r="K3309" s="592"/>
    </row>
    <row r="3310" spans="1:11">
      <c r="A3310" s="568"/>
      <c r="B3310" s="593" t="s">
        <v>1584</v>
      </c>
      <c r="C3310" s="599"/>
      <c r="D3310" s="578">
        <v>0</v>
      </c>
      <c r="E3310" s="579" t="s">
        <v>8</v>
      </c>
      <c r="F3310" s="569">
        <v>1</v>
      </c>
      <c r="G3310" s="600">
        <v>1.2</v>
      </c>
      <c r="H3310" s="600">
        <v>1.2</v>
      </c>
      <c r="I3310" s="600">
        <v>0.85</v>
      </c>
      <c r="J3310" s="597">
        <f t="shared" si="352"/>
        <v>0</v>
      </c>
      <c r="K3310" s="592"/>
    </row>
    <row r="3311" spans="1:11">
      <c r="A3311" s="568"/>
      <c r="B3311" s="593" t="s">
        <v>651</v>
      </c>
      <c r="C3311" s="599"/>
      <c r="D3311" s="578">
        <v>0</v>
      </c>
      <c r="E3311" s="579" t="s">
        <v>8</v>
      </c>
      <c r="F3311" s="569">
        <v>1</v>
      </c>
      <c r="G3311" s="600">
        <v>1.2</v>
      </c>
      <c r="H3311" s="600">
        <v>1.2</v>
      </c>
      <c r="I3311" s="600">
        <v>0.8</v>
      </c>
      <c r="J3311" s="597">
        <f t="shared" si="352"/>
        <v>0</v>
      </c>
      <c r="K3311" s="592"/>
    </row>
    <row r="3312" spans="1:11">
      <c r="A3312" s="568"/>
      <c r="B3312" s="593" t="s">
        <v>652</v>
      </c>
      <c r="C3312" s="599"/>
      <c r="D3312" s="578">
        <v>0</v>
      </c>
      <c r="E3312" s="579" t="s">
        <v>8</v>
      </c>
      <c r="F3312" s="569">
        <v>1</v>
      </c>
      <c r="G3312" s="600">
        <v>1.2</v>
      </c>
      <c r="H3312" s="600">
        <v>1.2</v>
      </c>
      <c r="I3312" s="600">
        <v>0.9</v>
      </c>
      <c r="J3312" s="597">
        <f t="shared" si="352"/>
        <v>0</v>
      </c>
      <c r="K3312" s="592"/>
    </row>
    <row r="3313" spans="1:11">
      <c r="A3313" s="568"/>
      <c r="B3313" s="593" t="s">
        <v>1585</v>
      </c>
      <c r="C3313" s="599"/>
      <c r="D3313" s="578">
        <v>1</v>
      </c>
      <c r="E3313" s="579" t="s">
        <v>8</v>
      </c>
      <c r="F3313" s="569">
        <v>1</v>
      </c>
      <c r="G3313" s="600">
        <v>1.2</v>
      </c>
      <c r="H3313" s="600">
        <v>1.2</v>
      </c>
      <c r="I3313" s="600">
        <v>0.45</v>
      </c>
      <c r="J3313" s="597">
        <f t="shared" si="352"/>
        <v>0.64800000000000002</v>
      </c>
      <c r="K3313" s="592"/>
    </row>
    <row r="3314" spans="1:11">
      <c r="A3314" s="568"/>
      <c r="B3314" s="593"/>
      <c r="C3314" s="599"/>
      <c r="G3314" s="600"/>
      <c r="H3314" s="600"/>
      <c r="I3314" s="600"/>
      <c r="J3314" s="597"/>
      <c r="K3314" s="592"/>
    </row>
    <row r="3315" spans="1:11">
      <c r="A3315" s="568"/>
      <c r="B3315" s="593" t="s">
        <v>1365</v>
      </c>
      <c r="C3315" s="599"/>
      <c r="G3315" s="600"/>
      <c r="H3315" s="600"/>
      <c r="I3315" s="600"/>
      <c r="J3315" s="597"/>
      <c r="K3315" s="592"/>
    </row>
    <row r="3316" spans="1:11">
      <c r="A3316" s="568"/>
      <c r="B3316" s="593" t="s">
        <v>649</v>
      </c>
      <c r="C3316" s="599"/>
      <c r="D3316" s="578">
        <v>1</v>
      </c>
      <c r="E3316" s="579" t="s">
        <v>8</v>
      </c>
      <c r="F3316" s="569">
        <v>5</v>
      </c>
      <c r="G3316" s="600">
        <v>1.2</v>
      </c>
      <c r="H3316" s="600">
        <v>1.2</v>
      </c>
      <c r="I3316" s="600">
        <v>0.45</v>
      </c>
      <c r="J3316" s="597">
        <f>PRODUCT(D3316:I3316)</f>
        <v>3.2399999999999998</v>
      </c>
      <c r="K3316" s="592"/>
    </row>
    <row r="3317" spans="1:11">
      <c r="A3317" s="568"/>
      <c r="B3317" s="593" t="s">
        <v>1585</v>
      </c>
      <c r="C3317" s="599"/>
      <c r="D3317" s="578">
        <v>1</v>
      </c>
      <c r="E3317" s="579" t="s">
        <v>8</v>
      </c>
      <c r="F3317" s="569">
        <v>2</v>
      </c>
      <c r="G3317" s="600">
        <v>1.2</v>
      </c>
      <c r="H3317" s="600">
        <v>1.2</v>
      </c>
      <c r="I3317" s="600">
        <v>0.45</v>
      </c>
      <c r="J3317" s="597">
        <f>PRODUCT(D3317:I3317)</f>
        <v>1.296</v>
      </c>
      <c r="K3317" s="592"/>
    </row>
    <row r="3318" spans="1:11">
      <c r="A3318" s="568"/>
      <c r="B3318" s="593" t="s">
        <v>1406</v>
      </c>
      <c r="C3318" s="599"/>
      <c r="G3318" s="600"/>
      <c r="H3318" s="600"/>
      <c r="I3318" s="600"/>
      <c r="J3318" s="597"/>
      <c r="K3318" s="592"/>
    </row>
    <row r="3319" spans="1:11">
      <c r="A3319" s="568"/>
      <c r="B3319" s="593" t="s">
        <v>649</v>
      </c>
      <c r="C3319" s="599"/>
      <c r="D3319" s="578">
        <v>1</v>
      </c>
      <c r="E3319" s="579" t="s">
        <v>8</v>
      </c>
      <c r="F3319" s="569">
        <v>4</v>
      </c>
      <c r="G3319" s="600">
        <v>1.2</v>
      </c>
      <c r="H3319" s="600">
        <v>1.2</v>
      </c>
      <c r="I3319" s="600">
        <v>0.45</v>
      </c>
      <c r="J3319" s="597">
        <f>PRODUCT(D3319:I3319)</f>
        <v>2.5920000000000001</v>
      </c>
      <c r="K3319" s="592"/>
    </row>
    <row r="3320" spans="1:11">
      <c r="A3320" s="568"/>
      <c r="B3320" s="593" t="s">
        <v>1585</v>
      </c>
      <c r="C3320" s="599"/>
      <c r="D3320" s="578">
        <v>1</v>
      </c>
      <c r="E3320" s="579" t="s">
        <v>8</v>
      </c>
      <c r="F3320" s="569">
        <v>2</v>
      </c>
      <c r="G3320" s="600">
        <v>1.2</v>
      </c>
      <c r="H3320" s="600">
        <v>1.2</v>
      </c>
      <c r="I3320" s="600">
        <v>0.45</v>
      </c>
      <c r="J3320" s="597">
        <f>PRODUCT(D3320:I3320)</f>
        <v>1.296</v>
      </c>
      <c r="K3320" s="592"/>
    </row>
    <row r="3321" spans="1:11">
      <c r="A3321" s="568"/>
      <c r="B3321" s="593" t="s">
        <v>1364</v>
      </c>
      <c r="C3321" s="599"/>
      <c r="G3321" s="600"/>
      <c r="H3321" s="600"/>
      <c r="I3321" s="600"/>
      <c r="J3321" s="597"/>
      <c r="K3321" s="592"/>
    </row>
    <row r="3322" spans="1:11">
      <c r="A3322" s="568"/>
      <c r="B3322" s="593" t="s">
        <v>649</v>
      </c>
      <c r="C3322" s="599"/>
      <c r="D3322" s="578">
        <v>1</v>
      </c>
      <c r="E3322" s="579" t="s">
        <v>8</v>
      </c>
      <c r="F3322" s="569">
        <v>4</v>
      </c>
      <c r="G3322" s="600">
        <v>1.2</v>
      </c>
      <c r="H3322" s="600">
        <v>1.2</v>
      </c>
      <c r="I3322" s="600">
        <v>0.45</v>
      </c>
      <c r="J3322" s="597">
        <f>PRODUCT(D3322:I3322)</f>
        <v>2.5920000000000001</v>
      </c>
      <c r="K3322" s="592"/>
    </row>
    <row r="3323" spans="1:11">
      <c r="A3323" s="568"/>
      <c r="B3323" s="593" t="s">
        <v>1585</v>
      </c>
      <c r="C3323" s="599"/>
      <c r="D3323" s="578">
        <v>1</v>
      </c>
      <c r="E3323" s="579" t="s">
        <v>8</v>
      </c>
      <c r="F3323" s="569">
        <v>2</v>
      </c>
      <c r="G3323" s="600">
        <v>1.2</v>
      </c>
      <c r="H3323" s="600">
        <v>1.2</v>
      </c>
      <c r="I3323" s="600">
        <v>0.45</v>
      </c>
      <c r="J3323" s="597">
        <f>PRODUCT(D3323:I3323)</f>
        <v>1.296</v>
      </c>
      <c r="K3323" s="592"/>
    </row>
    <row r="3324" spans="1:11" ht="18" customHeight="1">
      <c r="A3324" s="571" t="s">
        <v>70</v>
      </c>
      <c r="B3324" s="584" t="s">
        <v>482</v>
      </c>
      <c r="C3324" s="599"/>
      <c r="G3324" s="600"/>
      <c r="H3324" s="600"/>
      <c r="I3324" s="600"/>
      <c r="J3324" s="568"/>
      <c r="K3324" s="568"/>
    </row>
    <row r="3325" spans="1:11" ht="18" customHeight="1">
      <c r="A3325" s="568"/>
      <c r="B3325" s="593" t="s">
        <v>1363</v>
      </c>
      <c r="C3325" s="599"/>
      <c r="D3325" s="578">
        <v>1</v>
      </c>
      <c r="E3325" s="579" t="s">
        <v>8</v>
      </c>
      <c r="F3325" s="569">
        <v>1</v>
      </c>
      <c r="G3325" s="600">
        <v>32.520000000000003</v>
      </c>
      <c r="H3325" s="600">
        <v>0.45</v>
      </c>
      <c r="I3325" s="600">
        <v>0.45</v>
      </c>
      <c r="J3325" s="597">
        <f>PRODUCT(D3325:I3325)</f>
        <v>6.585300000000001</v>
      </c>
      <c r="K3325" s="568"/>
    </row>
    <row r="3326" spans="1:11" ht="18" customHeight="1">
      <c r="A3326" s="568"/>
      <c r="B3326" s="593" t="s">
        <v>1364</v>
      </c>
      <c r="C3326" s="599"/>
      <c r="D3326" s="578">
        <v>1</v>
      </c>
      <c r="E3326" s="579" t="s">
        <v>8</v>
      </c>
      <c r="F3326" s="569">
        <v>1</v>
      </c>
      <c r="G3326" s="600">
        <v>32.520000000000003</v>
      </c>
      <c r="H3326" s="600">
        <v>0.45</v>
      </c>
      <c r="I3326" s="600">
        <v>0.45</v>
      </c>
      <c r="J3326" s="597">
        <f t="shared" ref="J3326:J3328" si="353">PRODUCT(D3326:I3326)</f>
        <v>6.585300000000001</v>
      </c>
      <c r="K3326" s="568"/>
    </row>
    <row r="3327" spans="1:11" ht="18" customHeight="1">
      <c r="A3327" s="568"/>
      <c r="B3327" s="593" t="s">
        <v>1365</v>
      </c>
      <c r="C3327" s="599"/>
      <c r="D3327" s="578">
        <v>1</v>
      </c>
      <c r="E3327" s="579" t="s">
        <v>8</v>
      </c>
      <c r="F3327" s="569">
        <v>1</v>
      </c>
      <c r="G3327" s="600">
        <v>46.72</v>
      </c>
      <c r="H3327" s="600">
        <v>0.45</v>
      </c>
      <c r="I3327" s="600">
        <v>0.45</v>
      </c>
      <c r="J3327" s="597">
        <f t="shared" si="353"/>
        <v>9.4608000000000008</v>
      </c>
      <c r="K3327" s="568"/>
    </row>
    <row r="3328" spans="1:11" ht="18" customHeight="1">
      <c r="A3328" s="568"/>
      <c r="B3328" s="593" t="s">
        <v>1366</v>
      </c>
      <c r="C3328" s="599"/>
      <c r="D3328" s="578">
        <v>1</v>
      </c>
      <c r="E3328" s="579" t="s">
        <v>8</v>
      </c>
      <c r="F3328" s="569">
        <v>1</v>
      </c>
      <c r="G3328" s="600">
        <f>1.82+2.6+23.95</f>
        <v>28.369999999999997</v>
      </c>
      <c r="H3328" s="600">
        <v>0.45</v>
      </c>
      <c r="I3328" s="600">
        <v>0.45</v>
      </c>
      <c r="J3328" s="597">
        <f t="shared" si="353"/>
        <v>5.7449249999999994</v>
      </c>
      <c r="K3328" s="568"/>
    </row>
    <row r="3329" spans="1:11">
      <c r="A3329" s="568" t="s">
        <v>69</v>
      </c>
      <c r="B3329" s="584" t="s">
        <v>1740</v>
      </c>
      <c r="C3329" s="599"/>
      <c r="G3329" s="600"/>
      <c r="H3329" s="600"/>
      <c r="I3329" s="600"/>
      <c r="J3329" s="605"/>
      <c r="K3329" s="592"/>
    </row>
    <row r="3330" spans="1:11">
      <c r="A3330" s="568"/>
      <c r="B3330" s="593" t="s">
        <v>1586</v>
      </c>
      <c r="C3330" s="599"/>
      <c r="G3330" s="600"/>
      <c r="H3330" s="600"/>
      <c r="I3330" s="600"/>
      <c r="J3330" s="597"/>
      <c r="K3330" s="592"/>
    </row>
    <row r="3331" spans="1:11">
      <c r="A3331" s="568"/>
      <c r="B3331" s="593" t="s">
        <v>649</v>
      </c>
      <c r="C3331" s="599"/>
      <c r="D3331" s="578">
        <v>0</v>
      </c>
      <c r="E3331" s="579" t="s">
        <v>8</v>
      </c>
      <c r="F3331" s="569">
        <v>4</v>
      </c>
      <c r="G3331" s="600">
        <v>0.3</v>
      </c>
      <c r="H3331" s="600">
        <v>0.3</v>
      </c>
      <c r="I3331" s="600">
        <v>1.05</v>
      </c>
      <c r="J3331" s="597">
        <f t="shared" ref="J3331:J3336" si="354">PRODUCT(D3331:I3331)</f>
        <v>0</v>
      </c>
      <c r="K3331" s="592"/>
    </row>
    <row r="3332" spans="1:11">
      <c r="A3332" s="568"/>
      <c r="B3332" s="593" t="s">
        <v>650</v>
      </c>
      <c r="C3332" s="599"/>
      <c r="D3332" s="578">
        <v>0</v>
      </c>
      <c r="E3332" s="579" t="s">
        <v>8</v>
      </c>
      <c r="F3332" s="569">
        <v>2</v>
      </c>
      <c r="G3332" s="600">
        <v>0.3</v>
      </c>
      <c r="H3332" s="600">
        <v>0.3</v>
      </c>
      <c r="I3332" s="600">
        <v>0.65</v>
      </c>
      <c r="J3332" s="597">
        <f t="shared" si="354"/>
        <v>0</v>
      </c>
      <c r="K3332" s="592"/>
    </row>
    <row r="3333" spans="1:11">
      <c r="A3333" s="568"/>
      <c r="B3333" s="593" t="s">
        <v>1584</v>
      </c>
      <c r="C3333" s="599"/>
      <c r="D3333" s="578">
        <v>0</v>
      </c>
      <c r="E3333" s="579" t="s">
        <v>8</v>
      </c>
      <c r="F3333" s="569">
        <v>1</v>
      </c>
      <c r="G3333" s="600">
        <v>0.3</v>
      </c>
      <c r="H3333" s="600">
        <v>0.3</v>
      </c>
      <c r="I3333" s="600">
        <v>0.65</v>
      </c>
      <c r="J3333" s="597">
        <f t="shared" si="354"/>
        <v>0</v>
      </c>
      <c r="K3333" s="592"/>
    </row>
    <row r="3334" spans="1:11">
      <c r="A3334" s="568"/>
      <c r="B3334" s="593" t="s">
        <v>651</v>
      </c>
      <c r="C3334" s="599"/>
      <c r="D3334" s="578">
        <v>0</v>
      </c>
      <c r="E3334" s="579" t="s">
        <v>8</v>
      </c>
      <c r="F3334" s="569">
        <v>1</v>
      </c>
      <c r="G3334" s="600">
        <v>0.3</v>
      </c>
      <c r="H3334" s="600">
        <v>0.3</v>
      </c>
      <c r="I3334" s="600">
        <v>0.7</v>
      </c>
      <c r="J3334" s="597">
        <f t="shared" si="354"/>
        <v>0</v>
      </c>
      <c r="K3334" s="592"/>
    </row>
    <row r="3335" spans="1:11">
      <c r="A3335" s="568"/>
      <c r="B3335" s="593" t="s">
        <v>652</v>
      </c>
      <c r="C3335" s="599"/>
      <c r="D3335" s="578">
        <v>0</v>
      </c>
      <c r="E3335" s="579" t="s">
        <v>8</v>
      </c>
      <c r="F3335" s="569">
        <v>1</v>
      </c>
      <c r="G3335" s="600">
        <v>0.3</v>
      </c>
      <c r="H3335" s="600">
        <v>0.3</v>
      </c>
      <c r="I3335" s="600">
        <v>0.6</v>
      </c>
      <c r="J3335" s="597">
        <f t="shared" si="354"/>
        <v>0</v>
      </c>
      <c r="K3335" s="592"/>
    </row>
    <row r="3336" spans="1:11">
      <c r="A3336" s="568"/>
      <c r="B3336" s="593" t="s">
        <v>1585</v>
      </c>
      <c r="C3336" s="599"/>
      <c r="D3336" s="578">
        <v>0</v>
      </c>
      <c r="E3336" s="579" t="s">
        <v>8</v>
      </c>
      <c r="F3336" s="569">
        <v>1</v>
      </c>
      <c r="G3336" s="600">
        <v>0.3</v>
      </c>
      <c r="H3336" s="600">
        <v>0.3</v>
      </c>
      <c r="I3336" s="600">
        <v>1.05</v>
      </c>
      <c r="J3336" s="597">
        <f t="shared" si="354"/>
        <v>0</v>
      </c>
      <c r="K3336" s="592"/>
    </row>
    <row r="3337" spans="1:11">
      <c r="A3337" s="568"/>
      <c r="B3337" s="593"/>
      <c r="C3337" s="599"/>
      <c r="G3337" s="600"/>
      <c r="H3337" s="600"/>
      <c r="I3337" s="600"/>
      <c r="J3337" s="597"/>
      <c r="K3337" s="592"/>
    </row>
    <row r="3338" spans="1:11">
      <c r="A3338" s="568"/>
      <c r="B3338" s="593" t="s">
        <v>1365</v>
      </c>
      <c r="C3338" s="599"/>
      <c r="G3338" s="600"/>
      <c r="H3338" s="600"/>
      <c r="I3338" s="600"/>
      <c r="J3338" s="597"/>
      <c r="K3338" s="592"/>
    </row>
    <row r="3339" spans="1:11">
      <c r="A3339" s="568"/>
      <c r="B3339" s="593" t="s">
        <v>649</v>
      </c>
      <c r="C3339" s="599"/>
      <c r="D3339" s="578">
        <v>1</v>
      </c>
      <c r="E3339" s="579" t="s">
        <v>8</v>
      </c>
      <c r="F3339" s="569">
        <v>5</v>
      </c>
      <c r="G3339" s="600">
        <v>0.3</v>
      </c>
      <c r="H3339" s="600">
        <v>0.3</v>
      </c>
      <c r="I3339" s="600">
        <v>1.05</v>
      </c>
      <c r="J3339" s="597">
        <f>PRODUCT(D3339:I3339)</f>
        <v>0.47249999999999998</v>
      </c>
      <c r="K3339" s="592"/>
    </row>
    <row r="3340" spans="1:11">
      <c r="A3340" s="568"/>
      <c r="B3340" s="593" t="s">
        <v>1585</v>
      </c>
      <c r="C3340" s="599"/>
      <c r="D3340" s="578">
        <v>1</v>
      </c>
      <c r="E3340" s="579" t="s">
        <v>8</v>
      </c>
      <c r="F3340" s="569">
        <v>2</v>
      </c>
      <c r="G3340" s="600">
        <v>0.3</v>
      </c>
      <c r="H3340" s="600">
        <v>0.3</v>
      </c>
      <c r="I3340" s="600">
        <v>1.05</v>
      </c>
      <c r="J3340" s="597">
        <f>PRODUCT(D3340:I3340)</f>
        <v>0.189</v>
      </c>
      <c r="K3340" s="592"/>
    </row>
    <row r="3341" spans="1:11">
      <c r="A3341" s="568"/>
      <c r="B3341" s="593" t="s">
        <v>1406</v>
      </c>
      <c r="C3341" s="599"/>
      <c r="G3341" s="600"/>
      <c r="H3341" s="600"/>
      <c r="I3341" s="600"/>
      <c r="J3341" s="597"/>
      <c r="K3341" s="592"/>
    </row>
    <row r="3342" spans="1:11">
      <c r="A3342" s="568"/>
      <c r="B3342" s="593" t="s">
        <v>649</v>
      </c>
      <c r="C3342" s="599"/>
      <c r="D3342" s="578">
        <v>1</v>
      </c>
      <c r="E3342" s="579" t="s">
        <v>8</v>
      </c>
      <c r="F3342" s="569">
        <v>4</v>
      </c>
      <c r="G3342" s="600">
        <v>0.3</v>
      </c>
      <c r="H3342" s="600">
        <v>0.3</v>
      </c>
      <c r="I3342" s="600">
        <v>1.05</v>
      </c>
      <c r="J3342" s="597">
        <f>PRODUCT(D3342:I3342)</f>
        <v>0.378</v>
      </c>
      <c r="K3342" s="592"/>
    </row>
    <row r="3343" spans="1:11">
      <c r="A3343" s="568"/>
      <c r="B3343" s="593" t="s">
        <v>1585</v>
      </c>
      <c r="C3343" s="599"/>
      <c r="D3343" s="578">
        <v>1</v>
      </c>
      <c r="E3343" s="579" t="s">
        <v>8</v>
      </c>
      <c r="F3343" s="569">
        <v>2</v>
      </c>
      <c r="G3343" s="600">
        <v>0.3</v>
      </c>
      <c r="H3343" s="600">
        <v>0.3</v>
      </c>
      <c r="I3343" s="600">
        <v>1.05</v>
      </c>
      <c r="J3343" s="597">
        <f>PRODUCT(D3343:I3343)</f>
        <v>0.189</v>
      </c>
      <c r="K3343" s="592"/>
    </row>
    <row r="3344" spans="1:11">
      <c r="A3344" s="568"/>
      <c r="B3344" s="593" t="s">
        <v>1364</v>
      </c>
      <c r="C3344" s="599"/>
      <c r="G3344" s="600"/>
      <c r="H3344" s="600"/>
      <c r="I3344" s="600"/>
      <c r="J3344" s="597"/>
      <c r="K3344" s="592"/>
    </row>
    <row r="3345" spans="1:11">
      <c r="A3345" s="568"/>
      <c r="B3345" s="593" t="s">
        <v>649</v>
      </c>
      <c r="C3345" s="599"/>
      <c r="D3345" s="578">
        <v>1</v>
      </c>
      <c r="E3345" s="579" t="s">
        <v>8</v>
      </c>
      <c r="F3345" s="569">
        <v>4</v>
      </c>
      <c r="G3345" s="600">
        <v>0.3</v>
      </c>
      <c r="H3345" s="600">
        <v>0.3</v>
      </c>
      <c r="I3345" s="600">
        <v>1.05</v>
      </c>
      <c r="J3345" s="597">
        <f>PRODUCT(D3345:I3345)</f>
        <v>0.378</v>
      </c>
      <c r="K3345" s="592"/>
    </row>
    <row r="3346" spans="1:11">
      <c r="A3346" s="568"/>
      <c r="B3346" s="593" t="s">
        <v>1585</v>
      </c>
      <c r="C3346" s="599"/>
      <c r="D3346" s="578">
        <v>1</v>
      </c>
      <c r="E3346" s="579" t="s">
        <v>8</v>
      </c>
      <c r="F3346" s="569">
        <v>2</v>
      </c>
      <c r="G3346" s="600">
        <v>0.3</v>
      </c>
      <c r="H3346" s="600">
        <v>0.3</v>
      </c>
      <c r="I3346" s="600">
        <v>1.05</v>
      </c>
      <c r="J3346" s="597">
        <f>PRODUCT(D3346:I3346)</f>
        <v>0.189</v>
      </c>
      <c r="K3346" s="592"/>
    </row>
    <row r="3347" spans="1:11">
      <c r="A3347" s="568"/>
      <c r="B3347" s="593"/>
      <c r="C3347" s="599"/>
      <c r="G3347" s="619"/>
      <c r="H3347" s="604"/>
      <c r="I3347" s="600"/>
      <c r="J3347" s="697">
        <f>SUM(J3308:J3346)</f>
        <v>45.723824999999998</v>
      </c>
      <c r="K3347" s="592"/>
    </row>
    <row r="3348" spans="1:11">
      <c r="A3348" s="568"/>
      <c r="B3348" s="622" t="s">
        <v>28</v>
      </c>
      <c r="C3348" s="599"/>
      <c r="G3348" s="619"/>
      <c r="H3348" s="604"/>
      <c r="I3348" s="600"/>
      <c r="J3348" s="605">
        <f>ROUNDUP(J3347,0)</f>
        <v>46</v>
      </c>
      <c r="K3348" s="694" t="s">
        <v>52</v>
      </c>
    </row>
    <row r="3349" spans="1:11">
      <c r="A3349" s="568"/>
      <c r="B3349" s="622"/>
      <c r="C3349" s="599"/>
      <c r="G3349" s="619"/>
      <c r="H3349" s="604"/>
      <c r="I3349" s="600"/>
      <c r="J3349" s="605"/>
      <c r="K3349" s="694"/>
    </row>
    <row r="3350" spans="1:11">
      <c r="A3350" s="571">
        <v>5</v>
      </c>
      <c r="B3350" s="666" t="s">
        <v>1751</v>
      </c>
      <c r="C3350" s="599"/>
      <c r="G3350" s="619"/>
      <c r="H3350" s="604"/>
      <c r="I3350" s="600"/>
      <c r="J3350" s="605"/>
      <c r="K3350" s="694"/>
    </row>
    <row r="3351" spans="1:11">
      <c r="A3351" s="568"/>
      <c r="B3351" s="593"/>
      <c r="C3351" s="589"/>
      <c r="G3351" s="624" t="s">
        <v>52</v>
      </c>
      <c r="H3351" s="625" t="s">
        <v>661</v>
      </c>
      <c r="I3351" s="625"/>
      <c r="J3351" s="618"/>
      <c r="K3351" s="694"/>
    </row>
    <row r="3352" spans="1:11">
      <c r="A3352" s="568"/>
      <c r="B3352" s="593" t="s">
        <v>58</v>
      </c>
      <c r="C3352" s="589"/>
      <c r="G3352" s="590">
        <f>J3348</f>
        <v>46</v>
      </c>
      <c r="H3352" s="591">
        <v>0.12</v>
      </c>
      <c r="I3352" s="591"/>
      <c r="J3352" s="598">
        <f t="shared" ref="J3352" si="355">ROUNDUP(PRODUCT(A3352:I3352),2)</f>
        <v>5.52</v>
      </c>
      <c r="K3352" s="694"/>
    </row>
    <row r="3353" spans="1:11">
      <c r="A3353" s="568"/>
      <c r="B3353" s="593"/>
      <c r="C3353" s="589"/>
      <c r="G3353" s="590"/>
      <c r="H3353" s="591"/>
      <c r="I3353" s="591"/>
      <c r="J3353" s="605">
        <f>SUM(J3351:J3352)</f>
        <v>5.52</v>
      </c>
      <c r="K3353" s="592"/>
    </row>
    <row r="3354" spans="1:11">
      <c r="A3354" s="568"/>
      <c r="B3354" s="572" t="s">
        <v>58</v>
      </c>
      <c r="C3354" s="589"/>
      <c r="G3354" s="590"/>
      <c r="H3354" s="591"/>
      <c r="I3354" s="591"/>
      <c r="J3354" s="605">
        <f>ROUNDUP(J3353,0)</f>
        <v>6</v>
      </c>
      <c r="K3354" s="592" t="s">
        <v>517</v>
      </c>
    </row>
    <row r="3355" spans="1:11">
      <c r="A3355" s="571">
        <v>6</v>
      </c>
      <c r="B3355" s="584" t="s">
        <v>1741</v>
      </c>
      <c r="C3355" s="699"/>
      <c r="D3355" s="573"/>
      <c r="E3355" s="700"/>
      <c r="F3355" s="574"/>
      <c r="G3355" s="701"/>
      <c r="H3355" s="702"/>
      <c r="I3355" s="703"/>
      <c r="J3355" s="697"/>
      <c r="K3355" s="592"/>
    </row>
    <row r="3356" spans="1:11">
      <c r="A3356" s="568" t="s">
        <v>71</v>
      </c>
      <c r="B3356" s="584" t="s">
        <v>648</v>
      </c>
      <c r="C3356" s="599"/>
      <c r="G3356" s="715"/>
      <c r="H3356" s="716"/>
      <c r="I3356" s="596"/>
      <c r="J3356" s="597"/>
      <c r="K3356" s="592"/>
    </row>
    <row r="3357" spans="1:11">
      <c r="A3357" s="568"/>
      <c r="B3357" s="593" t="s">
        <v>1586</v>
      </c>
      <c r="C3357" s="599"/>
      <c r="G3357" s="600"/>
      <c r="H3357" s="600"/>
      <c r="I3357" s="600"/>
      <c r="J3357" s="597"/>
      <c r="K3357" s="592"/>
    </row>
    <row r="3358" spans="1:11">
      <c r="A3358" s="568"/>
      <c r="B3358" s="593" t="s">
        <v>649</v>
      </c>
      <c r="C3358" s="599"/>
      <c r="D3358" s="578">
        <v>1</v>
      </c>
      <c r="E3358" s="579" t="s">
        <v>8</v>
      </c>
      <c r="F3358" s="569">
        <v>4</v>
      </c>
      <c r="G3358" s="600">
        <v>1.2</v>
      </c>
      <c r="H3358" s="600"/>
      <c r="I3358" s="600">
        <v>0.45</v>
      </c>
      <c r="J3358" s="597">
        <f t="shared" ref="J3358:J3369" si="356">PRODUCT(D3358:I3358)</f>
        <v>2.16</v>
      </c>
      <c r="K3358" s="592"/>
    </row>
    <row r="3359" spans="1:11">
      <c r="A3359" s="568"/>
      <c r="B3359" s="593"/>
      <c r="C3359" s="599"/>
      <c r="D3359" s="578">
        <v>1</v>
      </c>
      <c r="E3359" s="579" t="s">
        <v>8</v>
      </c>
      <c r="F3359" s="569">
        <v>4</v>
      </c>
      <c r="G3359" s="600"/>
      <c r="H3359" s="600">
        <v>1.2</v>
      </c>
      <c r="I3359" s="600">
        <v>0.45</v>
      </c>
      <c r="J3359" s="597">
        <f t="shared" si="356"/>
        <v>2.16</v>
      </c>
      <c r="K3359" s="592"/>
    </row>
    <row r="3360" spans="1:11">
      <c r="A3360" s="568"/>
      <c r="B3360" s="593" t="s">
        <v>650</v>
      </c>
      <c r="C3360" s="599"/>
      <c r="D3360" s="578">
        <v>0</v>
      </c>
      <c r="E3360" s="579" t="s">
        <v>8</v>
      </c>
      <c r="F3360" s="569">
        <v>2</v>
      </c>
      <c r="G3360" s="600">
        <v>1.2</v>
      </c>
      <c r="H3360" s="600"/>
      <c r="I3360" s="600">
        <v>0.85</v>
      </c>
      <c r="J3360" s="597">
        <f t="shared" si="356"/>
        <v>0</v>
      </c>
      <c r="K3360" s="592"/>
    </row>
    <row r="3361" spans="1:11">
      <c r="A3361" s="568"/>
      <c r="B3361" s="593"/>
      <c r="C3361" s="599"/>
      <c r="D3361" s="578">
        <v>0</v>
      </c>
      <c r="E3361" s="579" t="s">
        <v>8</v>
      </c>
      <c r="F3361" s="569">
        <v>2</v>
      </c>
      <c r="G3361" s="600"/>
      <c r="H3361" s="600">
        <v>1.2</v>
      </c>
      <c r="I3361" s="600">
        <v>0.85</v>
      </c>
      <c r="J3361" s="597">
        <f t="shared" si="356"/>
        <v>0</v>
      </c>
      <c r="K3361" s="592"/>
    </row>
    <row r="3362" spans="1:11">
      <c r="A3362" s="568"/>
      <c r="B3362" s="593" t="s">
        <v>1584</v>
      </c>
      <c r="C3362" s="599"/>
      <c r="D3362" s="578">
        <v>0</v>
      </c>
      <c r="E3362" s="579" t="s">
        <v>8</v>
      </c>
      <c r="F3362" s="569">
        <v>1</v>
      </c>
      <c r="G3362" s="600">
        <v>1.2</v>
      </c>
      <c r="H3362" s="600"/>
      <c r="I3362" s="600">
        <v>0.85</v>
      </c>
      <c r="J3362" s="597">
        <f t="shared" si="356"/>
        <v>0</v>
      </c>
      <c r="K3362" s="592"/>
    </row>
    <row r="3363" spans="1:11">
      <c r="A3363" s="568"/>
      <c r="B3363" s="593"/>
      <c r="C3363" s="599"/>
      <c r="D3363" s="578">
        <v>0</v>
      </c>
      <c r="E3363" s="579" t="s">
        <v>8</v>
      </c>
      <c r="F3363" s="569">
        <v>1</v>
      </c>
      <c r="G3363" s="600"/>
      <c r="H3363" s="600">
        <v>1.2</v>
      </c>
      <c r="I3363" s="600">
        <v>0.85</v>
      </c>
      <c r="J3363" s="597">
        <f t="shared" si="356"/>
        <v>0</v>
      </c>
      <c r="K3363" s="592"/>
    </row>
    <row r="3364" spans="1:11">
      <c r="A3364" s="568"/>
      <c r="B3364" s="593" t="s">
        <v>651</v>
      </c>
      <c r="C3364" s="599"/>
      <c r="D3364" s="578">
        <v>0</v>
      </c>
      <c r="E3364" s="579" t="s">
        <v>8</v>
      </c>
      <c r="F3364" s="569">
        <v>1</v>
      </c>
      <c r="G3364" s="600">
        <v>1.2</v>
      </c>
      <c r="H3364" s="600"/>
      <c r="I3364" s="600">
        <v>0.8</v>
      </c>
      <c r="J3364" s="597">
        <f t="shared" si="356"/>
        <v>0</v>
      </c>
      <c r="K3364" s="592"/>
    </row>
    <row r="3365" spans="1:11">
      <c r="A3365" s="568"/>
      <c r="B3365" s="593"/>
      <c r="C3365" s="599"/>
      <c r="D3365" s="578">
        <v>0</v>
      </c>
      <c r="E3365" s="579" t="s">
        <v>8</v>
      </c>
      <c r="F3365" s="569">
        <v>1</v>
      </c>
      <c r="G3365" s="600"/>
      <c r="H3365" s="600">
        <v>1.2</v>
      </c>
      <c r="I3365" s="600">
        <v>0.8</v>
      </c>
      <c r="J3365" s="597">
        <f t="shared" si="356"/>
        <v>0</v>
      </c>
      <c r="K3365" s="592"/>
    </row>
    <row r="3366" spans="1:11">
      <c r="A3366" s="568"/>
      <c r="B3366" s="593" t="s">
        <v>652</v>
      </c>
      <c r="C3366" s="599"/>
      <c r="D3366" s="578">
        <v>0</v>
      </c>
      <c r="E3366" s="579" t="s">
        <v>8</v>
      </c>
      <c r="F3366" s="569">
        <v>2</v>
      </c>
      <c r="G3366" s="600">
        <v>1.2</v>
      </c>
      <c r="H3366" s="600"/>
      <c r="I3366" s="600">
        <v>0.9</v>
      </c>
      <c r="J3366" s="597">
        <f t="shared" si="356"/>
        <v>0</v>
      </c>
      <c r="K3366" s="592"/>
    </row>
    <row r="3367" spans="1:11">
      <c r="A3367" s="568"/>
      <c r="B3367" s="593"/>
      <c r="C3367" s="599"/>
      <c r="D3367" s="578">
        <v>0</v>
      </c>
      <c r="E3367" s="579" t="s">
        <v>8</v>
      </c>
      <c r="F3367" s="569">
        <v>1</v>
      </c>
      <c r="G3367" s="600"/>
      <c r="H3367" s="600">
        <v>1.2</v>
      </c>
      <c r="I3367" s="600">
        <v>0.9</v>
      </c>
      <c r="J3367" s="597">
        <f t="shared" si="356"/>
        <v>0</v>
      </c>
      <c r="K3367" s="592"/>
    </row>
    <row r="3368" spans="1:11">
      <c r="A3368" s="568"/>
      <c r="B3368" s="593" t="s">
        <v>1585</v>
      </c>
      <c r="C3368" s="599"/>
      <c r="D3368" s="578">
        <v>1</v>
      </c>
      <c r="E3368" s="579" t="s">
        <v>8</v>
      </c>
      <c r="F3368" s="569">
        <v>1</v>
      </c>
      <c r="G3368" s="600">
        <v>1.2</v>
      </c>
      <c r="H3368" s="600"/>
      <c r="I3368" s="600">
        <v>0.45</v>
      </c>
      <c r="J3368" s="597">
        <f t="shared" si="356"/>
        <v>0.54</v>
      </c>
      <c r="K3368" s="592"/>
    </row>
    <row r="3369" spans="1:11">
      <c r="A3369" s="568"/>
      <c r="B3369" s="593"/>
      <c r="C3369" s="599"/>
      <c r="D3369" s="578">
        <v>1</v>
      </c>
      <c r="E3369" s="579" t="s">
        <v>8</v>
      </c>
      <c r="F3369" s="569">
        <v>1</v>
      </c>
      <c r="G3369" s="600"/>
      <c r="H3369" s="600">
        <v>1.2</v>
      </c>
      <c r="I3369" s="600">
        <v>0.45</v>
      </c>
      <c r="J3369" s="597">
        <f t="shared" si="356"/>
        <v>0.54</v>
      </c>
      <c r="K3369" s="592"/>
    </row>
    <row r="3370" spans="1:11">
      <c r="A3370" s="568"/>
      <c r="B3370" s="593" t="s">
        <v>1365</v>
      </c>
      <c r="C3370" s="599"/>
      <c r="G3370" s="600"/>
      <c r="H3370" s="600"/>
      <c r="I3370" s="600"/>
      <c r="J3370" s="597"/>
      <c r="K3370" s="592"/>
    </row>
    <row r="3371" spans="1:11">
      <c r="A3371" s="568"/>
      <c r="B3371" s="593" t="s">
        <v>649</v>
      </c>
      <c r="C3371" s="599"/>
      <c r="D3371" s="578">
        <v>2</v>
      </c>
      <c r="E3371" s="579" t="s">
        <v>8</v>
      </c>
      <c r="F3371" s="569">
        <v>5</v>
      </c>
      <c r="G3371" s="600">
        <v>1.2</v>
      </c>
      <c r="H3371" s="600"/>
      <c r="I3371" s="600">
        <v>0.45</v>
      </c>
      <c r="J3371" s="597">
        <f>PRODUCT(D3371:I3371)</f>
        <v>5.4</v>
      </c>
      <c r="K3371" s="592"/>
    </row>
    <row r="3372" spans="1:11">
      <c r="A3372" s="568"/>
      <c r="B3372" s="593"/>
      <c r="C3372" s="599"/>
      <c r="D3372" s="578">
        <v>2</v>
      </c>
      <c r="E3372" s="579" t="s">
        <v>8</v>
      </c>
      <c r="F3372" s="569">
        <v>5</v>
      </c>
      <c r="G3372" s="600"/>
      <c r="H3372" s="600">
        <v>1.2</v>
      </c>
      <c r="I3372" s="600">
        <v>0.45</v>
      </c>
      <c r="J3372" s="597">
        <f>PRODUCT(D3372:I3372)</f>
        <v>5.4</v>
      </c>
      <c r="K3372" s="592"/>
    </row>
    <row r="3373" spans="1:11">
      <c r="A3373" s="568"/>
      <c r="B3373" s="593" t="s">
        <v>1585</v>
      </c>
      <c r="C3373" s="599"/>
      <c r="D3373" s="578">
        <v>2</v>
      </c>
      <c r="E3373" s="579" t="s">
        <v>8</v>
      </c>
      <c r="F3373" s="569">
        <v>2</v>
      </c>
      <c r="G3373" s="600">
        <v>1.2</v>
      </c>
      <c r="H3373" s="600"/>
      <c r="I3373" s="600">
        <v>0.45</v>
      </c>
      <c r="J3373" s="597">
        <f>PRODUCT(D3373:I3373)</f>
        <v>2.16</v>
      </c>
      <c r="K3373" s="592"/>
    </row>
    <row r="3374" spans="1:11">
      <c r="A3374" s="568"/>
      <c r="B3374" s="593"/>
      <c r="C3374" s="599"/>
      <c r="D3374" s="578">
        <v>2</v>
      </c>
      <c r="E3374" s="579" t="s">
        <v>8</v>
      </c>
      <c r="F3374" s="569">
        <v>2</v>
      </c>
      <c r="G3374" s="600"/>
      <c r="H3374" s="600">
        <v>1.2</v>
      </c>
      <c r="I3374" s="600">
        <v>0.45</v>
      </c>
      <c r="J3374" s="597">
        <f>PRODUCT(D3374:I3374)</f>
        <v>2.16</v>
      </c>
      <c r="K3374" s="592"/>
    </row>
    <row r="3375" spans="1:11">
      <c r="A3375" s="568"/>
      <c r="B3375" s="593" t="s">
        <v>1406</v>
      </c>
      <c r="C3375" s="599"/>
      <c r="G3375" s="600"/>
      <c r="H3375" s="600"/>
      <c r="I3375" s="600"/>
      <c r="J3375" s="597"/>
      <c r="K3375" s="592"/>
    </row>
    <row r="3376" spans="1:11">
      <c r="A3376" s="568"/>
      <c r="B3376" s="593" t="s">
        <v>649</v>
      </c>
      <c r="C3376" s="599"/>
      <c r="D3376" s="578">
        <v>2</v>
      </c>
      <c r="E3376" s="579" t="s">
        <v>8</v>
      </c>
      <c r="F3376" s="569">
        <v>4</v>
      </c>
      <c r="G3376" s="600">
        <v>1.2</v>
      </c>
      <c r="H3376" s="600"/>
      <c r="I3376" s="600">
        <v>0.45</v>
      </c>
      <c r="J3376" s="597">
        <f>PRODUCT(D3376:I3376)</f>
        <v>4.32</v>
      </c>
      <c r="K3376" s="592"/>
    </row>
    <row r="3377" spans="1:11">
      <c r="A3377" s="568"/>
      <c r="B3377" s="593"/>
      <c r="C3377" s="599"/>
      <c r="D3377" s="578">
        <v>2</v>
      </c>
      <c r="E3377" s="579" t="s">
        <v>8</v>
      </c>
      <c r="F3377" s="569">
        <v>4</v>
      </c>
      <c r="G3377" s="600"/>
      <c r="H3377" s="600">
        <v>1.2</v>
      </c>
      <c r="I3377" s="600">
        <v>0.45</v>
      </c>
      <c r="J3377" s="597">
        <f>PRODUCT(D3377:I3377)</f>
        <v>4.32</v>
      </c>
      <c r="K3377" s="592"/>
    </row>
    <row r="3378" spans="1:11">
      <c r="A3378" s="568"/>
      <c r="B3378" s="593" t="s">
        <v>1585</v>
      </c>
      <c r="C3378" s="599"/>
      <c r="D3378" s="578">
        <v>2</v>
      </c>
      <c r="E3378" s="579" t="s">
        <v>8</v>
      </c>
      <c r="F3378" s="569">
        <v>2</v>
      </c>
      <c r="G3378" s="600">
        <v>1.2</v>
      </c>
      <c r="H3378" s="600"/>
      <c r="I3378" s="600">
        <v>0.45</v>
      </c>
      <c r="J3378" s="597">
        <f>PRODUCT(D3378:I3378)</f>
        <v>2.16</v>
      </c>
      <c r="K3378" s="592"/>
    </row>
    <row r="3379" spans="1:11">
      <c r="A3379" s="568"/>
      <c r="B3379" s="593"/>
      <c r="C3379" s="599"/>
      <c r="D3379" s="578">
        <v>2</v>
      </c>
      <c r="E3379" s="579" t="s">
        <v>8</v>
      </c>
      <c r="F3379" s="569">
        <v>2</v>
      </c>
      <c r="G3379" s="600"/>
      <c r="H3379" s="600">
        <v>1.2</v>
      </c>
      <c r="I3379" s="600">
        <v>0.45</v>
      </c>
      <c r="J3379" s="597">
        <f>PRODUCT(D3379:I3379)</f>
        <v>2.16</v>
      </c>
      <c r="K3379" s="592"/>
    </row>
    <row r="3380" spans="1:11">
      <c r="A3380" s="568"/>
      <c r="B3380" s="593" t="s">
        <v>1364</v>
      </c>
      <c r="C3380" s="599"/>
      <c r="G3380" s="600"/>
      <c r="H3380" s="600"/>
      <c r="I3380" s="600"/>
      <c r="J3380" s="597"/>
      <c r="K3380" s="592"/>
    </row>
    <row r="3381" spans="1:11">
      <c r="A3381" s="568"/>
      <c r="B3381" s="593" t="s">
        <v>649</v>
      </c>
      <c r="C3381" s="599"/>
      <c r="D3381" s="578">
        <v>2</v>
      </c>
      <c r="E3381" s="579" t="s">
        <v>8</v>
      </c>
      <c r="F3381" s="569">
        <v>4</v>
      </c>
      <c r="G3381" s="600">
        <v>1.2</v>
      </c>
      <c r="H3381" s="600"/>
      <c r="I3381" s="600">
        <v>0.45</v>
      </c>
      <c r="J3381" s="597">
        <f>PRODUCT(D3381:I3381)</f>
        <v>4.32</v>
      </c>
      <c r="K3381" s="592"/>
    </row>
    <row r="3382" spans="1:11">
      <c r="A3382" s="568"/>
      <c r="B3382" s="593"/>
      <c r="C3382" s="599"/>
      <c r="D3382" s="578">
        <v>2</v>
      </c>
      <c r="E3382" s="579" t="s">
        <v>8</v>
      </c>
      <c r="F3382" s="569">
        <v>4</v>
      </c>
      <c r="G3382" s="600"/>
      <c r="H3382" s="600">
        <v>1.2</v>
      </c>
      <c r="I3382" s="600">
        <v>0.45</v>
      </c>
      <c r="J3382" s="597">
        <f>PRODUCT(D3382:I3382)</f>
        <v>4.32</v>
      </c>
      <c r="K3382" s="592"/>
    </row>
    <row r="3383" spans="1:11">
      <c r="A3383" s="568"/>
      <c r="B3383" s="593" t="s">
        <v>1585</v>
      </c>
      <c r="C3383" s="599"/>
      <c r="D3383" s="578">
        <v>2</v>
      </c>
      <c r="E3383" s="579" t="s">
        <v>8</v>
      </c>
      <c r="F3383" s="569">
        <v>2</v>
      </c>
      <c r="G3383" s="600">
        <v>1.2</v>
      </c>
      <c r="H3383" s="600"/>
      <c r="I3383" s="600">
        <v>0.45</v>
      </c>
      <c r="J3383" s="597">
        <f>PRODUCT(D3383:I3383)</f>
        <v>2.16</v>
      </c>
      <c r="K3383" s="592"/>
    </row>
    <row r="3384" spans="1:11">
      <c r="A3384" s="568"/>
      <c r="B3384" s="593"/>
      <c r="C3384" s="609"/>
      <c r="D3384" s="578">
        <v>2</v>
      </c>
      <c r="E3384" s="579" t="s">
        <v>8</v>
      </c>
      <c r="F3384" s="569">
        <v>2</v>
      </c>
      <c r="G3384" s="600"/>
      <c r="H3384" s="600">
        <v>1.2</v>
      </c>
      <c r="I3384" s="600">
        <v>0.45</v>
      </c>
      <c r="J3384" s="597">
        <f>PRODUCT(D3384:I3384)</f>
        <v>2.16</v>
      </c>
      <c r="K3384" s="592"/>
    </row>
    <row r="3385" spans="1:11">
      <c r="A3385" s="568"/>
      <c r="B3385" s="576" t="s">
        <v>482</v>
      </c>
      <c r="C3385" s="599"/>
      <c r="G3385" s="618"/>
      <c r="H3385" s="618"/>
      <c r="I3385" s="618"/>
      <c r="J3385" s="568"/>
      <c r="K3385" s="592"/>
    </row>
    <row r="3386" spans="1:11" ht="18" customHeight="1">
      <c r="A3386" s="568"/>
      <c r="B3386" s="593" t="s">
        <v>1363</v>
      </c>
      <c r="C3386" s="599"/>
      <c r="D3386" s="578">
        <v>2</v>
      </c>
      <c r="E3386" s="579" t="s">
        <v>8</v>
      </c>
      <c r="F3386" s="569">
        <v>1</v>
      </c>
      <c r="G3386" s="600">
        <v>32.520000000000003</v>
      </c>
      <c r="H3386" s="600"/>
      <c r="I3386" s="600">
        <v>0.45</v>
      </c>
      <c r="J3386" s="597">
        <f>PRODUCT(D3386:I3386)</f>
        <v>29.268000000000004</v>
      </c>
      <c r="K3386" s="568"/>
    </row>
    <row r="3387" spans="1:11" ht="18" customHeight="1">
      <c r="A3387" s="568"/>
      <c r="B3387" s="593" t="s">
        <v>1364</v>
      </c>
      <c r="C3387" s="599"/>
      <c r="D3387" s="578">
        <v>2</v>
      </c>
      <c r="E3387" s="579" t="s">
        <v>8</v>
      </c>
      <c r="F3387" s="569">
        <v>1</v>
      </c>
      <c r="G3387" s="600">
        <v>32.520000000000003</v>
      </c>
      <c r="H3387" s="600"/>
      <c r="I3387" s="600">
        <v>0.45</v>
      </c>
      <c r="J3387" s="597">
        <f t="shared" ref="J3387:J3389" si="357">PRODUCT(D3387:I3387)</f>
        <v>29.268000000000004</v>
      </c>
      <c r="K3387" s="568"/>
    </row>
    <row r="3388" spans="1:11" ht="18" customHeight="1">
      <c r="A3388" s="568"/>
      <c r="B3388" s="593" t="s">
        <v>1365</v>
      </c>
      <c r="C3388" s="599"/>
      <c r="D3388" s="578">
        <v>2</v>
      </c>
      <c r="E3388" s="579" t="s">
        <v>8</v>
      </c>
      <c r="F3388" s="569">
        <v>1</v>
      </c>
      <c r="G3388" s="600">
        <v>46.72</v>
      </c>
      <c r="H3388" s="600"/>
      <c r="I3388" s="600">
        <v>0.45</v>
      </c>
      <c r="J3388" s="597">
        <f t="shared" si="357"/>
        <v>42.048000000000002</v>
      </c>
      <c r="K3388" s="568"/>
    </row>
    <row r="3389" spans="1:11" ht="18" customHeight="1">
      <c r="A3389" s="568"/>
      <c r="B3389" s="593" t="s">
        <v>1366</v>
      </c>
      <c r="C3389" s="599"/>
      <c r="D3389" s="578">
        <v>2</v>
      </c>
      <c r="E3389" s="579" t="s">
        <v>8</v>
      </c>
      <c r="F3389" s="569">
        <v>1</v>
      </c>
      <c r="G3389" s="600">
        <f>1.82+2.6+23.95</f>
        <v>28.369999999999997</v>
      </c>
      <c r="H3389" s="600"/>
      <c r="I3389" s="600">
        <v>0.45</v>
      </c>
      <c r="J3389" s="597">
        <f t="shared" si="357"/>
        <v>25.532999999999998</v>
      </c>
      <c r="K3389" s="568"/>
    </row>
    <row r="3390" spans="1:11" ht="18" customHeight="1">
      <c r="A3390" s="568"/>
      <c r="B3390" s="593"/>
      <c r="C3390" s="609"/>
      <c r="G3390" s="604"/>
      <c r="H3390" s="600"/>
      <c r="I3390" s="600"/>
      <c r="J3390" s="697">
        <f>SUM(J3357:J3389)</f>
        <v>172.55699999999999</v>
      </c>
      <c r="K3390" s="568"/>
    </row>
    <row r="3391" spans="1:11" ht="18" customHeight="1">
      <c r="A3391" s="568"/>
      <c r="B3391" s="622" t="s">
        <v>28</v>
      </c>
      <c r="C3391" s="599"/>
      <c r="G3391" s="619"/>
      <c r="H3391" s="604"/>
      <c r="I3391" s="600"/>
      <c r="J3391" s="605">
        <f>ROUNDUP(J3390,0)</f>
        <v>173</v>
      </c>
      <c r="K3391" s="694" t="s">
        <v>9</v>
      </c>
    </row>
    <row r="3392" spans="1:11" ht="18" customHeight="1">
      <c r="A3392" s="568"/>
      <c r="B3392" s="593"/>
      <c r="C3392" s="609"/>
      <c r="G3392" s="604"/>
      <c r="H3392" s="600"/>
      <c r="I3392" s="600"/>
      <c r="J3392" s="597"/>
      <c r="K3392" s="568"/>
    </row>
    <row r="3393" spans="1:11">
      <c r="A3393" s="568" t="s">
        <v>70</v>
      </c>
      <c r="B3393" s="584" t="s">
        <v>1742</v>
      </c>
      <c r="C3393" s="599"/>
      <c r="G3393" s="568"/>
      <c r="H3393" s="568"/>
      <c r="I3393" s="568"/>
      <c r="J3393" s="605"/>
      <c r="K3393" s="592"/>
    </row>
    <row r="3394" spans="1:11">
      <c r="A3394" s="568"/>
      <c r="B3394" s="593" t="s">
        <v>1586</v>
      </c>
      <c r="C3394" s="599"/>
      <c r="G3394" s="600"/>
      <c r="H3394" s="600"/>
      <c r="I3394" s="600"/>
      <c r="J3394" s="597"/>
      <c r="K3394" s="592"/>
    </row>
    <row r="3395" spans="1:11">
      <c r="A3395" s="568"/>
      <c r="B3395" s="593" t="s">
        <v>649</v>
      </c>
      <c r="C3395" s="599"/>
      <c r="D3395" s="578">
        <v>1</v>
      </c>
      <c r="E3395" s="579" t="s">
        <v>8</v>
      </c>
      <c r="F3395" s="569">
        <v>4</v>
      </c>
      <c r="G3395" s="600">
        <v>0.3</v>
      </c>
      <c r="H3395" s="600"/>
      <c r="I3395" s="600">
        <v>1.05</v>
      </c>
      <c r="J3395" s="597">
        <f t="shared" ref="J3395:J3408" si="358">PRODUCT(D3395:I3395)</f>
        <v>1.26</v>
      </c>
      <c r="K3395" s="592"/>
    </row>
    <row r="3396" spans="1:11">
      <c r="A3396" s="568"/>
      <c r="B3396" s="593"/>
      <c r="C3396" s="599"/>
      <c r="D3396" s="578">
        <v>1</v>
      </c>
      <c r="E3396" s="579" t="s">
        <v>8</v>
      </c>
      <c r="F3396" s="569">
        <v>4</v>
      </c>
      <c r="G3396" s="600"/>
      <c r="H3396" s="600">
        <v>0.3</v>
      </c>
      <c r="I3396" s="600">
        <v>1.05</v>
      </c>
      <c r="J3396" s="597">
        <f t="shared" si="358"/>
        <v>1.26</v>
      </c>
      <c r="K3396" s="592"/>
    </row>
    <row r="3397" spans="1:11">
      <c r="A3397" s="568"/>
      <c r="B3397" s="593" t="s">
        <v>650</v>
      </c>
      <c r="C3397" s="599"/>
      <c r="D3397" s="578">
        <v>0</v>
      </c>
      <c r="E3397" s="579" t="s">
        <v>8</v>
      </c>
      <c r="F3397" s="569">
        <v>2</v>
      </c>
      <c r="G3397" s="600">
        <v>0.3</v>
      </c>
      <c r="H3397" s="600"/>
      <c r="I3397" s="600">
        <v>0.65</v>
      </c>
      <c r="J3397" s="597">
        <f t="shared" si="358"/>
        <v>0</v>
      </c>
      <c r="K3397" s="592"/>
    </row>
    <row r="3398" spans="1:11">
      <c r="A3398" s="568"/>
      <c r="B3398" s="593"/>
      <c r="C3398" s="599"/>
      <c r="D3398" s="578">
        <v>0</v>
      </c>
      <c r="E3398" s="579" t="s">
        <v>8</v>
      </c>
      <c r="F3398" s="569">
        <v>2</v>
      </c>
      <c r="G3398" s="600"/>
      <c r="H3398" s="600">
        <v>0.3</v>
      </c>
      <c r="I3398" s="600">
        <v>0.65</v>
      </c>
      <c r="J3398" s="597">
        <f t="shared" si="358"/>
        <v>0</v>
      </c>
      <c r="K3398" s="592"/>
    </row>
    <row r="3399" spans="1:11">
      <c r="A3399" s="568"/>
      <c r="B3399" s="593" t="s">
        <v>1584</v>
      </c>
      <c r="C3399" s="599"/>
      <c r="D3399" s="578">
        <v>0</v>
      </c>
      <c r="E3399" s="579" t="s">
        <v>8</v>
      </c>
      <c r="F3399" s="569">
        <v>1</v>
      </c>
      <c r="G3399" s="600">
        <v>0.3</v>
      </c>
      <c r="H3399" s="600"/>
      <c r="I3399" s="600">
        <v>0.65</v>
      </c>
      <c r="J3399" s="597">
        <f t="shared" si="358"/>
        <v>0</v>
      </c>
      <c r="K3399" s="592"/>
    </row>
    <row r="3400" spans="1:11">
      <c r="A3400" s="568"/>
      <c r="B3400" s="593"/>
      <c r="C3400" s="599"/>
      <c r="D3400" s="578">
        <v>0</v>
      </c>
      <c r="E3400" s="579" t="s">
        <v>8</v>
      </c>
      <c r="F3400" s="569">
        <v>1</v>
      </c>
      <c r="G3400" s="600"/>
      <c r="H3400" s="600">
        <v>0.3</v>
      </c>
      <c r="I3400" s="600">
        <v>0.65</v>
      </c>
      <c r="J3400" s="597">
        <f t="shared" si="358"/>
        <v>0</v>
      </c>
      <c r="K3400" s="592"/>
    </row>
    <row r="3401" spans="1:11">
      <c r="A3401" s="568"/>
      <c r="B3401" s="593" t="s">
        <v>651</v>
      </c>
      <c r="C3401" s="599"/>
      <c r="D3401" s="578">
        <v>0</v>
      </c>
      <c r="E3401" s="579" t="s">
        <v>8</v>
      </c>
      <c r="F3401" s="569">
        <v>1</v>
      </c>
      <c r="G3401" s="600">
        <v>0.3</v>
      </c>
      <c r="H3401" s="600"/>
      <c r="I3401" s="600">
        <v>0.7</v>
      </c>
      <c r="J3401" s="597">
        <f t="shared" si="358"/>
        <v>0</v>
      </c>
      <c r="K3401" s="592"/>
    </row>
    <row r="3402" spans="1:11">
      <c r="A3402" s="568"/>
      <c r="B3402" s="593"/>
      <c r="C3402" s="599"/>
      <c r="D3402" s="578">
        <v>0</v>
      </c>
      <c r="E3402" s="579" t="s">
        <v>8</v>
      </c>
      <c r="F3402" s="569">
        <v>1</v>
      </c>
      <c r="G3402" s="600"/>
      <c r="H3402" s="600">
        <v>0.3</v>
      </c>
      <c r="I3402" s="600">
        <v>0.7</v>
      </c>
      <c r="J3402" s="597">
        <f t="shared" si="358"/>
        <v>0</v>
      </c>
      <c r="K3402" s="592"/>
    </row>
    <row r="3403" spans="1:11">
      <c r="A3403" s="568"/>
      <c r="B3403" s="593" t="s">
        <v>652</v>
      </c>
      <c r="C3403" s="599"/>
      <c r="D3403" s="578">
        <v>0</v>
      </c>
      <c r="E3403" s="579" t="s">
        <v>8</v>
      </c>
      <c r="F3403" s="569">
        <v>1</v>
      </c>
      <c r="G3403" s="600">
        <v>0.3</v>
      </c>
      <c r="H3403" s="600"/>
      <c r="I3403" s="600">
        <v>0.6</v>
      </c>
      <c r="J3403" s="597">
        <f t="shared" si="358"/>
        <v>0</v>
      </c>
      <c r="K3403" s="592"/>
    </row>
    <row r="3404" spans="1:11">
      <c r="A3404" s="568"/>
      <c r="B3404" s="593"/>
      <c r="C3404" s="599"/>
      <c r="D3404" s="578">
        <v>0</v>
      </c>
      <c r="E3404" s="579" t="s">
        <v>8</v>
      </c>
      <c r="F3404" s="569">
        <v>1</v>
      </c>
      <c r="G3404" s="600"/>
      <c r="H3404" s="600">
        <v>0.3</v>
      </c>
      <c r="I3404" s="600">
        <v>0.6</v>
      </c>
      <c r="J3404" s="597">
        <f t="shared" si="358"/>
        <v>0</v>
      </c>
      <c r="K3404" s="592"/>
    </row>
    <row r="3405" spans="1:11">
      <c r="A3405" s="568"/>
      <c r="B3405" s="593" t="s">
        <v>653</v>
      </c>
      <c r="C3405" s="599"/>
      <c r="D3405" s="578">
        <v>0</v>
      </c>
      <c r="E3405" s="579" t="s">
        <v>8</v>
      </c>
      <c r="F3405" s="569">
        <v>4</v>
      </c>
      <c r="G3405" s="600">
        <v>0.3</v>
      </c>
      <c r="H3405" s="600"/>
      <c r="I3405" s="600">
        <v>0.6</v>
      </c>
      <c r="J3405" s="597">
        <f t="shared" si="358"/>
        <v>0</v>
      </c>
      <c r="K3405" s="592"/>
    </row>
    <row r="3406" spans="1:11">
      <c r="A3406" s="568"/>
      <c r="B3406" s="593"/>
      <c r="C3406" s="599"/>
      <c r="D3406" s="578">
        <v>0</v>
      </c>
      <c r="E3406" s="579" t="s">
        <v>8</v>
      </c>
      <c r="F3406" s="569">
        <v>4</v>
      </c>
      <c r="G3406" s="600"/>
      <c r="H3406" s="600">
        <v>0.3</v>
      </c>
      <c r="I3406" s="600">
        <v>0.6</v>
      </c>
      <c r="J3406" s="597">
        <f t="shared" si="358"/>
        <v>0</v>
      </c>
      <c r="K3406" s="592"/>
    </row>
    <row r="3407" spans="1:11">
      <c r="A3407" s="568"/>
      <c r="B3407" s="593" t="s">
        <v>1585</v>
      </c>
      <c r="C3407" s="599"/>
      <c r="D3407" s="578">
        <v>1</v>
      </c>
      <c r="E3407" s="579" t="s">
        <v>8</v>
      </c>
      <c r="F3407" s="569">
        <v>2</v>
      </c>
      <c r="G3407" s="600">
        <v>0.3</v>
      </c>
      <c r="H3407" s="600"/>
      <c r="I3407" s="600">
        <v>1.05</v>
      </c>
      <c r="J3407" s="597">
        <f t="shared" si="358"/>
        <v>0.63</v>
      </c>
      <c r="K3407" s="592"/>
    </row>
    <row r="3408" spans="1:11">
      <c r="A3408" s="568"/>
      <c r="B3408" s="593"/>
      <c r="C3408" s="599"/>
      <c r="D3408" s="578">
        <v>1</v>
      </c>
      <c r="E3408" s="579" t="s">
        <v>8</v>
      </c>
      <c r="F3408" s="569">
        <v>2</v>
      </c>
      <c r="G3408" s="600"/>
      <c r="H3408" s="600">
        <v>0.3</v>
      </c>
      <c r="I3408" s="600">
        <v>1.05</v>
      </c>
      <c r="J3408" s="597">
        <f t="shared" si="358"/>
        <v>0.63</v>
      </c>
      <c r="K3408" s="592"/>
    </row>
    <row r="3409" spans="1:11">
      <c r="A3409" s="568"/>
      <c r="B3409" s="593" t="s">
        <v>1365</v>
      </c>
      <c r="C3409" s="599"/>
      <c r="G3409" s="600"/>
      <c r="H3409" s="600"/>
      <c r="I3409" s="600"/>
      <c r="J3409" s="597"/>
      <c r="K3409" s="592"/>
    </row>
    <row r="3410" spans="1:11">
      <c r="A3410" s="568"/>
      <c r="B3410" s="593" t="s">
        <v>649</v>
      </c>
      <c r="C3410" s="599"/>
      <c r="D3410" s="578">
        <v>2</v>
      </c>
      <c r="E3410" s="579" t="s">
        <v>8</v>
      </c>
      <c r="F3410" s="569">
        <v>5</v>
      </c>
      <c r="G3410" s="600">
        <v>0.3</v>
      </c>
      <c r="H3410" s="600"/>
      <c r="I3410" s="600">
        <v>1.05</v>
      </c>
      <c r="J3410" s="597">
        <f>PRODUCT(D3410:I3410)</f>
        <v>3.1500000000000004</v>
      </c>
      <c r="K3410" s="592"/>
    </row>
    <row r="3411" spans="1:11">
      <c r="A3411" s="568"/>
      <c r="B3411" s="593"/>
      <c r="C3411" s="599"/>
      <c r="D3411" s="578">
        <v>2</v>
      </c>
      <c r="E3411" s="579" t="s">
        <v>8</v>
      </c>
      <c r="F3411" s="569">
        <v>5</v>
      </c>
      <c r="G3411" s="600"/>
      <c r="H3411" s="600">
        <v>0.3</v>
      </c>
      <c r="I3411" s="600">
        <v>1.05</v>
      </c>
      <c r="J3411" s="597">
        <f>PRODUCT(D3411:I3411)</f>
        <v>3.1500000000000004</v>
      </c>
      <c r="K3411" s="592"/>
    </row>
    <row r="3412" spans="1:11">
      <c r="A3412" s="568"/>
      <c r="B3412" s="593" t="s">
        <v>1585</v>
      </c>
      <c r="C3412" s="599"/>
      <c r="D3412" s="578">
        <v>2</v>
      </c>
      <c r="E3412" s="579" t="s">
        <v>8</v>
      </c>
      <c r="F3412" s="569">
        <v>2</v>
      </c>
      <c r="G3412" s="600">
        <v>0.3</v>
      </c>
      <c r="H3412" s="600"/>
      <c r="I3412" s="600">
        <v>1.05</v>
      </c>
      <c r="J3412" s="597">
        <f>PRODUCT(D3412:I3412)</f>
        <v>1.26</v>
      </c>
      <c r="K3412" s="592"/>
    </row>
    <row r="3413" spans="1:11">
      <c r="A3413" s="568"/>
      <c r="B3413" s="593"/>
      <c r="C3413" s="599"/>
      <c r="D3413" s="578">
        <v>2</v>
      </c>
      <c r="E3413" s="579" t="s">
        <v>8</v>
      </c>
      <c r="F3413" s="569">
        <v>2</v>
      </c>
      <c r="G3413" s="600"/>
      <c r="H3413" s="600">
        <v>0.3</v>
      </c>
      <c r="I3413" s="600">
        <v>1.05</v>
      </c>
      <c r="J3413" s="597">
        <f>PRODUCT(D3413:I3413)</f>
        <v>1.26</v>
      </c>
      <c r="K3413" s="592"/>
    </row>
    <row r="3414" spans="1:11">
      <c r="A3414" s="568"/>
      <c r="B3414" s="593" t="s">
        <v>1406</v>
      </c>
      <c r="C3414" s="599"/>
      <c r="G3414" s="600"/>
      <c r="H3414" s="600"/>
      <c r="I3414" s="600"/>
      <c r="J3414" s="597"/>
      <c r="K3414" s="592"/>
    </row>
    <row r="3415" spans="1:11">
      <c r="A3415" s="568"/>
      <c r="B3415" s="593" t="s">
        <v>649</v>
      </c>
      <c r="C3415" s="599"/>
      <c r="D3415" s="578">
        <v>2</v>
      </c>
      <c r="E3415" s="579" t="s">
        <v>8</v>
      </c>
      <c r="F3415" s="569">
        <v>4</v>
      </c>
      <c r="G3415" s="600">
        <v>0.3</v>
      </c>
      <c r="H3415" s="600"/>
      <c r="I3415" s="600">
        <v>1.05</v>
      </c>
      <c r="J3415" s="597">
        <f>PRODUCT(D3415:I3415)</f>
        <v>2.52</v>
      </c>
      <c r="K3415" s="592"/>
    </row>
    <row r="3416" spans="1:11">
      <c r="A3416" s="568"/>
      <c r="B3416" s="593"/>
      <c r="C3416" s="599"/>
      <c r="D3416" s="578">
        <v>2</v>
      </c>
      <c r="E3416" s="579" t="s">
        <v>8</v>
      </c>
      <c r="F3416" s="569">
        <v>4</v>
      </c>
      <c r="G3416" s="600"/>
      <c r="H3416" s="600">
        <v>0.3</v>
      </c>
      <c r="I3416" s="600">
        <v>1.05</v>
      </c>
      <c r="J3416" s="597">
        <f>PRODUCT(D3416:I3416)</f>
        <v>2.52</v>
      </c>
      <c r="K3416" s="592"/>
    </row>
    <row r="3417" spans="1:11">
      <c r="A3417" s="568"/>
      <c r="B3417" s="593" t="s">
        <v>1585</v>
      </c>
      <c r="C3417" s="599"/>
      <c r="D3417" s="578">
        <v>2</v>
      </c>
      <c r="E3417" s="579" t="s">
        <v>8</v>
      </c>
      <c r="F3417" s="569">
        <v>2</v>
      </c>
      <c r="G3417" s="600">
        <v>0.3</v>
      </c>
      <c r="H3417" s="600"/>
      <c r="I3417" s="600">
        <v>1.05</v>
      </c>
      <c r="J3417" s="597">
        <f>PRODUCT(D3417:I3417)</f>
        <v>1.26</v>
      </c>
      <c r="K3417" s="592"/>
    </row>
    <row r="3418" spans="1:11">
      <c r="A3418" s="568"/>
      <c r="B3418" s="593"/>
      <c r="C3418" s="599"/>
      <c r="D3418" s="578">
        <v>2</v>
      </c>
      <c r="E3418" s="579" t="s">
        <v>8</v>
      </c>
      <c r="F3418" s="569">
        <v>2</v>
      </c>
      <c r="G3418" s="600"/>
      <c r="H3418" s="600">
        <v>0.3</v>
      </c>
      <c r="I3418" s="600">
        <v>1.05</v>
      </c>
      <c r="J3418" s="597">
        <f>PRODUCT(D3418:I3418)</f>
        <v>1.26</v>
      </c>
      <c r="K3418" s="592"/>
    </row>
    <row r="3419" spans="1:11">
      <c r="A3419" s="568"/>
      <c r="B3419" s="593" t="s">
        <v>1364</v>
      </c>
      <c r="C3419" s="599"/>
      <c r="G3419" s="600"/>
      <c r="H3419" s="600"/>
      <c r="I3419" s="600"/>
      <c r="J3419" s="597"/>
      <c r="K3419" s="592"/>
    </row>
    <row r="3420" spans="1:11">
      <c r="A3420" s="568"/>
      <c r="B3420" s="593" t="s">
        <v>649</v>
      </c>
      <c r="C3420" s="599"/>
      <c r="D3420" s="578">
        <v>2</v>
      </c>
      <c r="E3420" s="579" t="s">
        <v>8</v>
      </c>
      <c r="F3420" s="569">
        <v>4</v>
      </c>
      <c r="G3420" s="600">
        <v>0.3</v>
      </c>
      <c r="H3420" s="600"/>
      <c r="I3420" s="600">
        <v>1.05</v>
      </c>
      <c r="J3420" s="597">
        <f>PRODUCT(D3420:I3420)</f>
        <v>2.52</v>
      </c>
      <c r="K3420" s="592"/>
    </row>
    <row r="3421" spans="1:11">
      <c r="A3421" s="568"/>
      <c r="B3421" s="593"/>
      <c r="C3421" s="599"/>
      <c r="D3421" s="578">
        <v>2</v>
      </c>
      <c r="E3421" s="579" t="s">
        <v>8</v>
      </c>
      <c r="F3421" s="569">
        <v>4</v>
      </c>
      <c r="G3421" s="600"/>
      <c r="H3421" s="600">
        <v>0.3</v>
      </c>
      <c r="I3421" s="600">
        <v>1.05</v>
      </c>
      <c r="J3421" s="597">
        <f>PRODUCT(D3421:I3421)</f>
        <v>2.52</v>
      </c>
      <c r="K3421" s="592"/>
    </row>
    <row r="3422" spans="1:11">
      <c r="A3422" s="568"/>
      <c r="B3422" s="593" t="s">
        <v>1585</v>
      </c>
      <c r="C3422" s="599"/>
      <c r="D3422" s="578">
        <v>2</v>
      </c>
      <c r="E3422" s="579" t="s">
        <v>8</v>
      </c>
      <c r="F3422" s="569">
        <v>2</v>
      </c>
      <c r="G3422" s="600">
        <v>0.3</v>
      </c>
      <c r="H3422" s="600"/>
      <c r="I3422" s="600">
        <v>1.05</v>
      </c>
      <c r="J3422" s="597">
        <f>PRODUCT(D3422:I3422)</f>
        <v>1.26</v>
      </c>
      <c r="K3422" s="592"/>
    </row>
    <row r="3423" spans="1:11">
      <c r="A3423" s="568"/>
      <c r="B3423" s="593"/>
      <c r="C3423" s="609"/>
      <c r="D3423" s="578">
        <v>2</v>
      </c>
      <c r="E3423" s="579" t="s">
        <v>8</v>
      </c>
      <c r="F3423" s="569">
        <v>2</v>
      </c>
      <c r="G3423" s="600"/>
      <c r="H3423" s="600">
        <v>0.3</v>
      </c>
      <c r="I3423" s="600">
        <v>1.05</v>
      </c>
      <c r="J3423" s="597">
        <f>PRODUCT(D3423:I3423)</f>
        <v>1.26</v>
      </c>
      <c r="K3423" s="592"/>
    </row>
    <row r="3424" spans="1:11">
      <c r="A3424" s="568"/>
      <c r="B3424" s="593"/>
      <c r="C3424" s="609"/>
      <c r="G3424" s="600"/>
      <c r="H3424" s="600"/>
      <c r="I3424" s="600"/>
      <c r="J3424" s="697">
        <f>SUM(J3394:J3423)</f>
        <v>27.720000000000006</v>
      </c>
      <c r="K3424" s="592"/>
    </row>
    <row r="3425" spans="1:11">
      <c r="A3425" s="568"/>
      <c r="B3425" s="622" t="s">
        <v>28</v>
      </c>
      <c r="C3425" s="599"/>
      <c r="G3425" s="619"/>
      <c r="H3425" s="604"/>
      <c r="I3425" s="600"/>
      <c r="J3425" s="605">
        <f>ROUNDUP(J3424,0)</f>
        <v>28</v>
      </c>
      <c r="K3425" s="694" t="s">
        <v>9</v>
      </c>
    </row>
    <row r="3426" spans="1:11">
      <c r="A3426" s="571">
        <v>7</v>
      </c>
      <c r="B3426" s="584" t="s">
        <v>10</v>
      </c>
      <c r="C3426" s="609"/>
      <c r="G3426" s="600"/>
      <c r="H3426" s="600"/>
      <c r="I3426" s="600"/>
      <c r="J3426" s="597"/>
      <c r="K3426" s="592"/>
    </row>
    <row r="3427" spans="1:11">
      <c r="A3427" s="571"/>
      <c r="B3427" s="584" t="s">
        <v>1743</v>
      </c>
      <c r="C3427" s="606"/>
      <c r="G3427" s="704"/>
      <c r="H3427" s="704"/>
      <c r="I3427" s="607"/>
      <c r="J3427" s="605"/>
      <c r="K3427" s="592"/>
    </row>
    <row r="3428" spans="1:11">
      <c r="A3428" s="571"/>
      <c r="B3428" s="593" t="s">
        <v>1363</v>
      </c>
      <c r="C3428" s="599"/>
      <c r="D3428" s="578">
        <v>0</v>
      </c>
      <c r="E3428" s="579" t="s">
        <v>8</v>
      </c>
      <c r="F3428" s="569">
        <v>1</v>
      </c>
      <c r="G3428" s="600">
        <v>32.520000000000003</v>
      </c>
      <c r="H3428" s="674"/>
      <c r="I3428" s="618">
        <v>2.1</v>
      </c>
      <c r="J3428" s="597">
        <f t="shared" ref="J3428:J3432" si="359">PRODUCT(D3428:I3428)</f>
        <v>0</v>
      </c>
      <c r="K3428" s="592"/>
    </row>
    <row r="3429" spans="1:11">
      <c r="A3429" s="571"/>
      <c r="B3429" s="593" t="s">
        <v>1364</v>
      </c>
      <c r="C3429" s="599"/>
      <c r="D3429" s="578">
        <v>0</v>
      </c>
      <c r="E3429" s="579" t="s">
        <v>8</v>
      </c>
      <c r="F3429" s="569">
        <v>1</v>
      </c>
      <c r="G3429" s="600">
        <v>32.520000000000003</v>
      </c>
      <c r="H3429" s="674"/>
      <c r="I3429" s="618">
        <v>2.1</v>
      </c>
      <c r="J3429" s="597">
        <f t="shared" si="359"/>
        <v>0</v>
      </c>
      <c r="K3429" s="592"/>
    </row>
    <row r="3430" spans="1:11">
      <c r="A3430" s="571"/>
      <c r="B3430" s="593" t="s">
        <v>1365</v>
      </c>
      <c r="C3430" s="599"/>
      <c r="D3430" s="578">
        <v>0</v>
      </c>
      <c r="E3430" s="579" t="s">
        <v>8</v>
      </c>
      <c r="F3430" s="569">
        <v>1</v>
      </c>
      <c r="G3430" s="600">
        <v>46.72</v>
      </c>
      <c r="H3430" s="674"/>
      <c r="I3430" s="618">
        <v>2.1</v>
      </c>
      <c r="J3430" s="597">
        <f t="shared" si="359"/>
        <v>0</v>
      </c>
      <c r="K3430" s="592"/>
    </row>
    <row r="3431" spans="1:11">
      <c r="A3431" s="571"/>
      <c r="B3431" s="593" t="s">
        <v>1366</v>
      </c>
      <c r="C3431" s="599"/>
      <c r="D3431" s="578">
        <v>0</v>
      </c>
      <c r="E3431" s="579" t="s">
        <v>8</v>
      </c>
      <c r="F3431" s="569">
        <v>1</v>
      </c>
      <c r="G3431" s="600">
        <f>1.82+2.6+23.95</f>
        <v>28.369999999999997</v>
      </c>
      <c r="H3431" s="674"/>
      <c r="I3431" s="618">
        <v>2.1</v>
      </c>
      <c r="J3431" s="597">
        <f t="shared" si="359"/>
        <v>0</v>
      </c>
      <c r="K3431" s="592"/>
    </row>
    <row r="3432" spans="1:11">
      <c r="A3432" s="571"/>
      <c r="B3432" s="593" t="s">
        <v>1378</v>
      </c>
      <c r="C3432" s="599"/>
      <c r="D3432" s="578">
        <v>0</v>
      </c>
      <c r="E3432" s="579" t="s">
        <v>8</v>
      </c>
      <c r="F3432" s="569">
        <v>2</v>
      </c>
      <c r="G3432" s="618">
        <v>7.3</v>
      </c>
      <c r="H3432" s="618"/>
      <c r="I3432" s="618">
        <f>0.6+0.45</f>
        <v>1.05</v>
      </c>
      <c r="J3432" s="597">
        <f t="shared" si="359"/>
        <v>0</v>
      </c>
      <c r="K3432" s="592"/>
    </row>
    <row r="3433" spans="1:11">
      <c r="A3433" s="571"/>
      <c r="B3433" s="593"/>
      <c r="C3433" s="599"/>
      <c r="G3433" s="618"/>
      <c r="H3433" s="618"/>
      <c r="I3433" s="618"/>
      <c r="J3433" s="697">
        <f>SUM(J3428:J3432)</f>
        <v>0</v>
      </c>
      <c r="K3433" s="592"/>
    </row>
    <row r="3434" spans="1:11">
      <c r="A3434" s="571"/>
      <c r="B3434" s="622" t="s">
        <v>28</v>
      </c>
      <c r="C3434" s="599"/>
      <c r="G3434" s="619"/>
      <c r="H3434" s="604"/>
      <c r="I3434" s="600"/>
      <c r="J3434" s="605">
        <f>ROUNDUP(J3433,0)</f>
        <v>0</v>
      </c>
      <c r="K3434" s="694" t="s">
        <v>9</v>
      </c>
    </row>
    <row r="3435" spans="1:11">
      <c r="A3435" s="571">
        <v>8</v>
      </c>
      <c r="B3435" s="576" t="s">
        <v>1744</v>
      </c>
      <c r="C3435" s="599"/>
      <c r="G3435" s="618"/>
      <c r="H3435" s="618"/>
      <c r="I3435" s="618"/>
      <c r="J3435" s="597"/>
      <c r="K3435" s="592"/>
    </row>
    <row r="3436" spans="1:11">
      <c r="A3436" s="571"/>
      <c r="B3436" s="593" t="s">
        <v>1363</v>
      </c>
      <c r="C3436" s="599"/>
      <c r="D3436" s="578">
        <v>0</v>
      </c>
      <c r="E3436" s="579" t="s">
        <v>8</v>
      </c>
      <c r="F3436" s="569">
        <v>2</v>
      </c>
      <c r="G3436" s="600">
        <v>32.520000000000003</v>
      </c>
      <c r="H3436" s="674"/>
      <c r="I3436" s="618">
        <v>2.4</v>
      </c>
      <c r="J3436" s="597">
        <f t="shared" ref="J3436:J3440" si="360">PRODUCT(D3436:I3436)</f>
        <v>0</v>
      </c>
      <c r="K3436" s="592"/>
    </row>
    <row r="3437" spans="1:11">
      <c r="A3437" s="571"/>
      <c r="B3437" s="593" t="s">
        <v>1364</v>
      </c>
      <c r="C3437" s="599"/>
      <c r="D3437" s="578">
        <v>0</v>
      </c>
      <c r="E3437" s="579" t="s">
        <v>8</v>
      </c>
      <c r="F3437" s="569">
        <v>2</v>
      </c>
      <c r="G3437" s="600">
        <v>32.520000000000003</v>
      </c>
      <c r="H3437" s="674"/>
      <c r="I3437" s="618">
        <v>2.4</v>
      </c>
      <c r="J3437" s="597">
        <f t="shared" si="360"/>
        <v>0</v>
      </c>
      <c r="K3437" s="592"/>
    </row>
    <row r="3438" spans="1:11">
      <c r="A3438" s="571"/>
      <c r="B3438" s="593" t="s">
        <v>1365</v>
      </c>
      <c r="C3438" s="599"/>
      <c r="D3438" s="578">
        <v>0</v>
      </c>
      <c r="E3438" s="579" t="s">
        <v>8</v>
      </c>
      <c r="F3438" s="569">
        <v>2</v>
      </c>
      <c r="G3438" s="600">
        <v>46.72</v>
      </c>
      <c r="H3438" s="674"/>
      <c r="I3438" s="618">
        <v>2.4</v>
      </c>
      <c r="J3438" s="597">
        <f t="shared" si="360"/>
        <v>0</v>
      </c>
      <c r="K3438" s="592"/>
    </row>
    <row r="3439" spans="1:11">
      <c r="A3439" s="571"/>
      <c r="B3439" s="593" t="s">
        <v>1366</v>
      </c>
      <c r="C3439" s="599"/>
      <c r="D3439" s="578">
        <v>0</v>
      </c>
      <c r="E3439" s="579" t="s">
        <v>8</v>
      </c>
      <c r="F3439" s="569">
        <v>2</v>
      </c>
      <c r="G3439" s="600">
        <f>1.82+2.6+23.95</f>
        <v>28.369999999999997</v>
      </c>
      <c r="H3439" s="674"/>
      <c r="I3439" s="618">
        <v>2.4</v>
      </c>
      <c r="J3439" s="597">
        <f t="shared" si="360"/>
        <v>0</v>
      </c>
      <c r="K3439" s="592"/>
    </row>
    <row r="3440" spans="1:11">
      <c r="A3440" s="571"/>
      <c r="B3440" s="593" t="s">
        <v>1382</v>
      </c>
      <c r="C3440" s="599"/>
      <c r="D3440" s="578">
        <v>0</v>
      </c>
      <c r="E3440" s="579" t="s">
        <v>8</v>
      </c>
      <c r="F3440" s="569">
        <v>1</v>
      </c>
      <c r="G3440" s="618">
        <f>SUM(G3436:G3439)</f>
        <v>140.13</v>
      </c>
      <c r="H3440" s="618">
        <v>0.2</v>
      </c>
      <c r="I3440" s="618"/>
      <c r="J3440" s="597">
        <f t="shared" si="360"/>
        <v>0</v>
      </c>
      <c r="K3440" s="592"/>
    </row>
    <row r="3441" spans="1:11">
      <c r="A3441" s="568"/>
      <c r="B3441" s="593"/>
      <c r="C3441" s="581"/>
      <c r="G3441" s="581"/>
      <c r="H3441" s="581"/>
      <c r="I3441" s="581"/>
      <c r="J3441" s="614">
        <f>SUM(J3436:J3440)</f>
        <v>0</v>
      </c>
      <c r="K3441" s="581"/>
    </row>
    <row r="3442" spans="1:11">
      <c r="A3442" s="568"/>
      <c r="B3442" s="622" t="s">
        <v>28</v>
      </c>
      <c r="C3442" s="599"/>
      <c r="G3442" s="619"/>
      <c r="H3442" s="604"/>
      <c r="I3442" s="600"/>
      <c r="J3442" s="605">
        <f>ROUNDUP(J3441,0)</f>
        <v>0</v>
      </c>
      <c r="K3442" s="694" t="s">
        <v>9</v>
      </c>
    </row>
    <row r="3443" spans="1:11">
      <c r="A3443" s="571">
        <v>9</v>
      </c>
      <c r="B3443" s="576" t="s">
        <v>1750</v>
      </c>
      <c r="C3443" s="599"/>
      <c r="G3443" s="618"/>
      <c r="H3443" s="618"/>
      <c r="I3443" s="618"/>
      <c r="J3443" s="597"/>
      <c r="K3443" s="592"/>
    </row>
    <row r="3444" spans="1:11">
      <c r="A3444" s="571"/>
      <c r="B3444" s="593" t="s">
        <v>1363</v>
      </c>
      <c r="C3444" s="599"/>
      <c r="D3444" s="578">
        <v>1</v>
      </c>
      <c r="E3444" s="579" t="s">
        <v>8</v>
      </c>
      <c r="F3444" s="569">
        <v>2</v>
      </c>
      <c r="G3444" s="600">
        <v>32.520000000000003</v>
      </c>
      <c r="H3444" s="674"/>
      <c r="I3444" s="618">
        <v>2.4</v>
      </c>
      <c r="J3444" s="597">
        <f t="shared" ref="J3444:J3447" si="361">PRODUCT(D3444:I3444)</f>
        <v>156.096</v>
      </c>
      <c r="K3444" s="592"/>
    </row>
    <row r="3445" spans="1:11">
      <c r="A3445" s="571"/>
      <c r="B3445" s="593" t="s">
        <v>1364</v>
      </c>
      <c r="C3445" s="599"/>
      <c r="D3445" s="578">
        <v>1</v>
      </c>
      <c r="E3445" s="579" t="s">
        <v>8</v>
      </c>
      <c r="F3445" s="569">
        <v>2</v>
      </c>
      <c r="G3445" s="600">
        <v>32.520000000000003</v>
      </c>
      <c r="H3445" s="674"/>
      <c r="I3445" s="618">
        <v>2.4</v>
      </c>
      <c r="J3445" s="597">
        <f t="shared" si="361"/>
        <v>156.096</v>
      </c>
      <c r="K3445" s="592"/>
    </row>
    <row r="3446" spans="1:11">
      <c r="A3446" s="571"/>
      <c r="B3446" s="593" t="s">
        <v>1365</v>
      </c>
      <c r="C3446" s="599"/>
      <c r="D3446" s="578">
        <v>1</v>
      </c>
      <c r="E3446" s="579" t="s">
        <v>8</v>
      </c>
      <c r="F3446" s="569">
        <v>2</v>
      </c>
      <c r="G3446" s="600">
        <v>46.72</v>
      </c>
      <c r="H3446" s="674"/>
      <c r="I3446" s="618">
        <v>2.4</v>
      </c>
      <c r="J3446" s="597">
        <f t="shared" si="361"/>
        <v>224.256</v>
      </c>
      <c r="K3446" s="592"/>
    </row>
    <row r="3447" spans="1:11">
      <c r="A3447" s="571"/>
      <c r="B3447" s="593" t="s">
        <v>1366</v>
      </c>
      <c r="C3447" s="599"/>
      <c r="D3447" s="578">
        <v>1</v>
      </c>
      <c r="E3447" s="579" t="s">
        <v>8</v>
      </c>
      <c r="F3447" s="569">
        <v>2</v>
      </c>
      <c r="G3447" s="600">
        <f>1.82+2.6+23.95</f>
        <v>28.369999999999997</v>
      </c>
      <c r="H3447" s="674"/>
      <c r="I3447" s="618">
        <v>2.4</v>
      </c>
      <c r="J3447" s="597">
        <f t="shared" si="361"/>
        <v>136.17599999999999</v>
      </c>
      <c r="K3447" s="592"/>
    </row>
    <row r="3448" spans="1:11">
      <c r="A3448" s="568"/>
      <c r="B3448" s="593"/>
      <c r="C3448" s="581"/>
      <c r="G3448" s="581"/>
      <c r="H3448" s="581"/>
      <c r="I3448" s="581"/>
      <c r="J3448" s="614">
        <f>SUM(J3444:J3447)</f>
        <v>672.62400000000002</v>
      </c>
      <c r="K3448" s="581"/>
    </row>
    <row r="3449" spans="1:11">
      <c r="A3449" s="568"/>
      <c r="B3449" s="622" t="s">
        <v>28</v>
      </c>
      <c r="C3449" s="599"/>
      <c r="G3449" s="619"/>
      <c r="H3449" s="604"/>
      <c r="I3449" s="600"/>
      <c r="J3449" s="605">
        <f>ROUNDUP(J3448,0)</f>
        <v>673</v>
      </c>
      <c r="K3449" s="694" t="s">
        <v>9</v>
      </c>
    </row>
    <row r="3450" spans="1:11">
      <c r="A3450" s="571">
        <v>9</v>
      </c>
      <c r="B3450" s="576" t="s">
        <v>1846</v>
      </c>
      <c r="C3450" s="599"/>
      <c r="G3450" s="618"/>
      <c r="H3450" s="618"/>
      <c r="I3450" s="618"/>
      <c r="J3450" s="597"/>
      <c r="K3450" s="592"/>
    </row>
    <row r="3451" spans="1:11">
      <c r="A3451" s="571"/>
      <c r="B3451" s="593" t="s">
        <v>1363</v>
      </c>
      <c r="C3451" s="599"/>
      <c r="D3451" s="578">
        <v>1</v>
      </c>
      <c r="E3451" s="579" t="s">
        <v>8</v>
      </c>
      <c r="F3451" s="569">
        <v>1</v>
      </c>
      <c r="G3451" s="600">
        <v>32.520000000000003</v>
      </c>
      <c r="H3451" s="674"/>
      <c r="I3451" s="618">
        <v>2.4</v>
      </c>
      <c r="J3451" s="597">
        <f t="shared" ref="J3451:J3454" si="362">PRODUCT(D3451:I3451)</f>
        <v>78.048000000000002</v>
      </c>
      <c r="K3451" s="592"/>
    </row>
    <row r="3452" spans="1:11">
      <c r="A3452" s="571"/>
      <c r="B3452" s="593" t="s">
        <v>1364</v>
      </c>
      <c r="C3452" s="599"/>
      <c r="D3452" s="578">
        <v>1</v>
      </c>
      <c r="E3452" s="579" t="s">
        <v>8</v>
      </c>
      <c r="F3452" s="569">
        <v>1</v>
      </c>
      <c r="G3452" s="600">
        <v>32.520000000000003</v>
      </c>
      <c r="H3452" s="674"/>
      <c r="I3452" s="618">
        <v>2.4</v>
      </c>
      <c r="J3452" s="597">
        <f t="shared" si="362"/>
        <v>78.048000000000002</v>
      </c>
      <c r="K3452" s="592"/>
    </row>
    <row r="3453" spans="1:11">
      <c r="A3453" s="571"/>
      <c r="B3453" s="593" t="s">
        <v>1365</v>
      </c>
      <c r="C3453" s="599"/>
      <c r="D3453" s="578">
        <v>1</v>
      </c>
      <c r="E3453" s="579" t="s">
        <v>8</v>
      </c>
      <c r="F3453" s="569">
        <v>1</v>
      </c>
      <c r="G3453" s="600">
        <v>46.72</v>
      </c>
      <c r="H3453" s="674"/>
      <c r="I3453" s="618">
        <v>2.4</v>
      </c>
      <c r="J3453" s="597">
        <f t="shared" si="362"/>
        <v>112.128</v>
      </c>
      <c r="K3453" s="592"/>
    </row>
    <row r="3454" spans="1:11">
      <c r="A3454" s="571"/>
      <c r="B3454" s="593" t="s">
        <v>1366</v>
      </c>
      <c r="C3454" s="599"/>
      <c r="D3454" s="578">
        <v>1</v>
      </c>
      <c r="E3454" s="579" t="s">
        <v>8</v>
      </c>
      <c r="F3454" s="569">
        <v>1</v>
      </c>
      <c r="G3454" s="600">
        <f>1.82+2.6+23.95</f>
        <v>28.369999999999997</v>
      </c>
      <c r="H3454" s="674"/>
      <c r="I3454" s="618">
        <v>2.4</v>
      </c>
      <c r="J3454" s="597">
        <f t="shared" si="362"/>
        <v>68.087999999999994</v>
      </c>
      <c r="K3454" s="592"/>
    </row>
    <row r="3455" spans="1:11">
      <c r="A3455" s="568"/>
      <c r="B3455" s="593"/>
      <c r="C3455" s="581"/>
      <c r="G3455" s="581"/>
      <c r="H3455" s="581"/>
      <c r="I3455" s="581"/>
      <c r="J3455" s="614">
        <f>SUM(J3451:J3454)</f>
        <v>336.31200000000001</v>
      </c>
      <c r="K3455" s="581"/>
    </row>
    <row r="3456" spans="1:11">
      <c r="A3456" s="568"/>
      <c r="B3456" s="622" t="s">
        <v>28</v>
      </c>
      <c r="C3456" s="599"/>
      <c r="G3456" s="619"/>
      <c r="H3456" s="604"/>
      <c r="I3456" s="600"/>
      <c r="J3456" s="605">
        <f>ROUNDUP(J3455,0)</f>
        <v>337</v>
      </c>
      <c r="K3456" s="694" t="s">
        <v>9</v>
      </c>
    </row>
  </sheetData>
  <mergeCells count="272">
    <mergeCell ref="G3185:H3185"/>
    <mergeCell ref="G3212:H3212"/>
    <mergeCell ref="G3213:H3213"/>
    <mergeCell ref="G3214:H3214"/>
    <mergeCell ref="G3215:H3215"/>
    <mergeCell ref="G3186:H3186"/>
    <mergeCell ref="G3187:H3187"/>
    <mergeCell ref="G3188:H3188"/>
    <mergeCell ref="G3196:H3196"/>
    <mergeCell ref="G3197:H3197"/>
    <mergeCell ref="G3198:H3198"/>
    <mergeCell ref="G3199:H3199"/>
    <mergeCell ref="B313:K313"/>
    <mergeCell ref="G3163:H3163"/>
    <mergeCell ref="G3164:H3164"/>
    <mergeCell ref="G3165:H3165"/>
    <mergeCell ref="G3166:H3166"/>
    <mergeCell ref="G3174:H3174"/>
    <mergeCell ref="G3175:H3175"/>
    <mergeCell ref="G3176:H3176"/>
    <mergeCell ref="G3177:H3177"/>
    <mergeCell ref="G1334:H1334"/>
    <mergeCell ref="B319:K319"/>
    <mergeCell ref="G345:H345"/>
    <mergeCell ref="B426:K426"/>
    <mergeCell ref="B1718:K1718"/>
    <mergeCell ref="B1722:K1722"/>
    <mergeCell ref="B1756:K1756"/>
    <mergeCell ref="B1757:K1757"/>
    <mergeCell ref="B1758:K1758"/>
    <mergeCell ref="G1755:H1755"/>
    <mergeCell ref="B1044:K1044"/>
    <mergeCell ref="B1045:K1045"/>
    <mergeCell ref="B1049:K1049"/>
    <mergeCell ref="G1476:H1476"/>
    <mergeCell ref="G1478:H1478"/>
    <mergeCell ref="A1:K1"/>
    <mergeCell ref="A2:K2"/>
    <mergeCell ref="D3:F3"/>
    <mergeCell ref="B5:K5"/>
    <mergeCell ref="B6:K6"/>
    <mergeCell ref="B7:K7"/>
    <mergeCell ref="B1723:K1723"/>
    <mergeCell ref="G1046:H1046"/>
    <mergeCell ref="G1719:H1719"/>
    <mergeCell ref="B1047:K1047"/>
    <mergeCell ref="G1048:H1048"/>
    <mergeCell ref="G35:H35"/>
    <mergeCell ref="B135:K135"/>
    <mergeCell ref="G162:H162"/>
    <mergeCell ref="B302:K302"/>
    <mergeCell ref="B310:K310"/>
    <mergeCell ref="B311:K311"/>
    <mergeCell ref="G427:H427"/>
    <mergeCell ref="B432:K432"/>
    <mergeCell ref="G459:H459"/>
    <mergeCell ref="G730:H730"/>
    <mergeCell ref="G736:H736"/>
    <mergeCell ref="B312:K312"/>
    <mergeCell ref="G314:H314"/>
    <mergeCell ref="G1504:H1504"/>
    <mergeCell ref="G1506:H1506"/>
    <mergeCell ref="G1508:H1508"/>
    <mergeCell ref="G1510:H1510"/>
    <mergeCell ref="B1066:K1066"/>
    <mergeCell ref="B1067:K1067"/>
    <mergeCell ref="G1117:H1117"/>
    <mergeCell ref="B1198:K1198"/>
    <mergeCell ref="G1327:H1327"/>
    <mergeCell ref="B1759:K1759"/>
    <mergeCell ref="G1512:H1512"/>
    <mergeCell ref="G1543:H1543"/>
    <mergeCell ref="G1544:H1544"/>
    <mergeCell ref="B1567:K1567"/>
    <mergeCell ref="B1677:K1677"/>
    <mergeCell ref="B1704:K1704"/>
    <mergeCell ref="B1978:K1978"/>
    <mergeCell ref="B1981:K1981"/>
    <mergeCell ref="G1928:H1928"/>
    <mergeCell ref="G1931:H1931"/>
    <mergeCell ref="G1933:H1933"/>
    <mergeCell ref="G1935:H1935"/>
    <mergeCell ref="G1937:H1937"/>
    <mergeCell ref="G1939:H1939"/>
    <mergeCell ref="G1942:H1942"/>
    <mergeCell ref="G1977:H1977"/>
    <mergeCell ref="G1979:H1979"/>
    <mergeCell ref="G1980:H1980"/>
    <mergeCell ref="G1954:H1954"/>
    <mergeCell ref="G1956:H1956"/>
    <mergeCell ref="G1958:H1958"/>
    <mergeCell ref="G1960:H1960"/>
    <mergeCell ref="B1951:K1951"/>
    <mergeCell ref="B1995:K1995"/>
    <mergeCell ref="B1996:K1996"/>
    <mergeCell ref="G1950:H1950"/>
    <mergeCell ref="G1962:H1962"/>
    <mergeCell ref="B1760:K1760"/>
    <mergeCell ref="B1761:K1761"/>
    <mergeCell ref="B1762:K1762"/>
    <mergeCell ref="B1891:K1891"/>
    <mergeCell ref="B1940:K1940"/>
    <mergeCell ref="B1965:K1965"/>
    <mergeCell ref="G1944:H1944"/>
    <mergeCell ref="G1946:H1946"/>
    <mergeCell ref="G1948:H1948"/>
    <mergeCell ref="B2072:K2072"/>
    <mergeCell ref="B2088:K2088"/>
    <mergeCell ref="H2102:I2102"/>
    <mergeCell ref="B2105:K2105"/>
    <mergeCell ref="B2106:K2106"/>
    <mergeCell ref="B2114:K2114"/>
    <mergeCell ref="B1997:K1997"/>
    <mergeCell ref="B2008:K2008"/>
    <mergeCell ref="B2048:K2048"/>
    <mergeCell ref="B2057:K2057"/>
    <mergeCell ref="B2067:K2067"/>
    <mergeCell ref="B2056:K2056"/>
    <mergeCell ref="B2009:K2009"/>
    <mergeCell ref="B2015:K2015"/>
    <mergeCell ref="B2025:K2025"/>
    <mergeCell ref="B2021:K2021"/>
    <mergeCell ref="B2035:K2035"/>
    <mergeCell ref="B2039:K2039"/>
    <mergeCell ref="B2045:K2045"/>
    <mergeCell ref="B2121:K2121"/>
    <mergeCell ref="B2122:K2122"/>
    <mergeCell ref="B2123:K2123"/>
    <mergeCell ref="B2124:K2124"/>
    <mergeCell ref="B2127:K2127"/>
    <mergeCell ref="B2115:K2115"/>
    <mergeCell ref="B2116:K2116"/>
    <mergeCell ref="B2117:K2117"/>
    <mergeCell ref="B2118:K2118"/>
    <mergeCell ref="B2119:K2119"/>
    <mergeCell ref="B2120:K2120"/>
    <mergeCell ref="G2190:H2190"/>
    <mergeCell ref="B2194:K2194"/>
    <mergeCell ref="B2202:K2202"/>
    <mergeCell ref="B2131:K2131"/>
    <mergeCell ref="G2155:H2155"/>
    <mergeCell ref="G2156:H2156"/>
    <mergeCell ref="G2157:H2157"/>
    <mergeCell ref="B2174:K2174"/>
    <mergeCell ref="B2301:K2301"/>
    <mergeCell ref="G2133:H2133"/>
    <mergeCell ref="G2134:H2134"/>
    <mergeCell ref="B2217:K2217"/>
    <mergeCell ref="B2219:K2219"/>
    <mergeCell ref="B2242:K2242"/>
    <mergeCell ref="B2249:K2249"/>
    <mergeCell ref="B2251:K2251"/>
    <mergeCell ref="B2258:K2258"/>
    <mergeCell ref="G2218:H2218"/>
    <mergeCell ref="G2179:H2179"/>
    <mergeCell ref="G2250:H2250"/>
    <mergeCell ref="G2302:H2302"/>
    <mergeCell ref="B2361:K2361"/>
    <mergeCell ref="B2362:K2362"/>
    <mergeCell ref="B2369:K2369"/>
    <mergeCell ref="B2380:K2380"/>
    <mergeCell ref="B2457:K2457"/>
    <mergeCell ref="B2603:K2603"/>
    <mergeCell ref="B2375:K2375"/>
    <mergeCell ref="B2303:K2303"/>
    <mergeCell ref="B2305:K2305"/>
    <mergeCell ref="B2328:K2328"/>
    <mergeCell ref="G2304:H2304"/>
    <mergeCell ref="G2656:H2656"/>
    <mergeCell ref="G2657:H2657"/>
    <mergeCell ref="B2667:K2667"/>
    <mergeCell ref="B2725:K2725"/>
    <mergeCell ref="B2809:K2809"/>
    <mergeCell ref="G2638:H2638"/>
    <mergeCell ref="G2639:H2639"/>
    <mergeCell ref="G2640:H2640"/>
    <mergeCell ref="G2642:H2642"/>
    <mergeCell ref="G2651:H2651"/>
    <mergeCell ref="G2652:H2652"/>
    <mergeCell ref="G2825:H2825"/>
    <mergeCell ref="B2835:K2835"/>
    <mergeCell ref="G2868:H2868"/>
    <mergeCell ref="G2869:H2869"/>
    <mergeCell ref="G2870:H2870"/>
    <mergeCell ref="G2872:H2872"/>
    <mergeCell ref="G2815:H2815"/>
    <mergeCell ref="G2816:H2816"/>
    <mergeCell ref="G2820:H2820"/>
    <mergeCell ref="G2821:H2821"/>
    <mergeCell ref="B2904:K2904"/>
    <mergeCell ref="B2905:K2905"/>
    <mergeCell ref="B2906:K2906"/>
    <mergeCell ref="B2907:K2907"/>
    <mergeCell ref="B2908:K2908"/>
    <mergeCell ref="B2909:K2909"/>
    <mergeCell ref="G2880:H2880"/>
    <mergeCell ref="G2881:H2881"/>
    <mergeCell ref="G2884:H2884"/>
    <mergeCell ref="G2885:H2885"/>
    <mergeCell ref="B2899:K2899"/>
    <mergeCell ref="B2901:K2901"/>
    <mergeCell ref="G2902:H2902"/>
    <mergeCell ref="B2946:K2946"/>
    <mergeCell ref="B2947:K2947"/>
    <mergeCell ref="G2979:H2979"/>
    <mergeCell ref="B2993:K2993"/>
    <mergeCell ref="B2994:K2994"/>
    <mergeCell ref="B2995:K2995"/>
    <mergeCell ref="G2935:H2935"/>
    <mergeCell ref="B2941:K2941"/>
    <mergeCell ref="B2942:K2942"/>
    <mergeCell ref="B2943:K2943"/>
    <mergeCell ref="B2944:K2944"/>
    <mergeCell ref="B2945:K2945"/>
    <mergeCell ref="B3019:K3019"/>
    <mergeCell ref="G3022:H3022"/>
    <mergeCell ref="G3023:H3023"/>
    <mergeCell ref="B3030:K3030"/>
    <mergeCell ref="B3031:K3031"/>
    <mergeCell ref="B3032:K3032"/>
    <mergeCell ref="B2996:K2996"/>
    <mergeCell ref="B2997:K2997"/>
    <mergeCell ref="B2998:K2998"/>
    <mergeCell ref="B3006:K3006"/>
    <mergeCell ref="G3009:H3009"/>
    <mergeCell ref="B3016:K3016"/>
    <mergeCell ref="G3071:H3071"/>
    <mergeCell ref="B3043:K3043"/>
    <mergeCell ref="B3051:K3051"/>
    <mergeCell ref="B3052:K3052"/>
    <mergeCell ref="B3053:K3053"/>
    <mergeCell ref="B3054:K3054"/>
    <mergeCell ref="B3055:K3055"/>
    <mergeCell ref="B3033:K3033"/>
    <mergeCell ref="B3034:K3034"/>
    <mergeCell ref="B3039:K3039"/>
    <mergeCell ref="B3040:K3040"/>
    <mergeCell ref="B3041:K3041"/>
    <mergeCell ref="B3042:K3042"/>
    <mergeCell ref="B3057:K3057"/>
    <mergeCell ref="G3059:H3059"/>
    <mergeCell ref="G3060:H3060"/>
    <mergeCell ref="G3061:H3061"/>
    <mergeCell ref="G3062:H3062"/>
    <mergeCell ref="B3066:K3066"/>
    <mergeCell ref="G3068:H3068"/>
    <mergeCell ref="G3069:H3069"/>
    <mergeCell ref="G3070:H3070"/>
    <mergeCell ref="B615:K615"/>
    <mergeCell ref="G3356:H3356"/>
    <mergeCell ref="G2139:H2139"/>
    <mergeCell ref="G3148:H3148"/>
    <mergeCell ref="G3149:H3149"/>
    <mergeCell ref="B3156:K3156"/>
    <mergeCell ref="B3158:K3158"/>
    <mergeCell ref="B3127:K3127"/>
    <mergeCell ref="B3131:K3131"/>
    <mergeCell ref="B3132:K3132"/>
    <mergeCell ref="G3133:H3133"/>
    <mergeCell ref="B3101:K3101"/>
    <mergeCell ref="B3102:K3102"/>
    <mergeCell ref="B3110:K3110"/>
    <mergeCell ref="B3112:K3112"/>
    <mergeCell ref="B3123:K3123"/>
    <mergeCell ref="B3126:K3126"/>
    <mergeCell ref="B3082:K3082"/>
    <mergeCell ref="B3087:K3087"/>
    <mergeCell ref="B3093:K3093"/>
    <mergeCell ref="B3095:K3095"/>
    <mergeCell ref="G3111:H3111"/>
    <mergeCell ref="G3124:H3124"/>
    <mergeCell ref="B3056:K3056"/>
  </mergeCells>
  <phoneticPr fontId="5" type="noConversion"/>
  <printOptions horizontalCentered="1"/>
  <pageMargins left="0.59055118110236204" right="0.39370078740157499" top="0.74803149606299202" bottom="0.74803149606299202" header="0.31496062992126" footer="0.31496062992126"/>
  <pageSetup paperSize="9" scale="55" fitToWidth="0" fitToHeight="0" orientation="portrait" r:id="rId1"/>
  <headerFooter scaleWithDoc="0">
    <oddHeader>&amp;LProposed Working Women's Hostels for TNWWHSB at Tiruvannamalai.&amp;R&amp;A</oddHeader>
    <oddFooter>&amp;L&amp;"Verdana,Regular"&amp;10DIUS Design Consultants Pvt Ltd&amp;C&amp;"Verdana,Regular"&amp;10&amp;P of &amp;N&amp;R&amp;"Verdana,Regular"&amp;10Knight Frank (India) Pvt Ltd</oddFooter>
  </headerFooter>
  <rowBreaks count="31" manualBreakCount="31">
    <brk id="12" max="10" man="1"/>
    <brk id="121" max="10" man="1"/>
    <brk id="185" max="10" man="1"/>
    <brk id="260" max="10" man="1"/>
    <brk id="301" max="10" man="1"/>
    <brk id="349" max="10" man="1"/>
    <brk id="588" max="10" man="1"/>
    <brk id="653" max="10" man="1"/>
    <brk id="948" max="10" man="1"/>
    <brk id="1293" max="10" man="1"/>
    <brk id="1717" max="10" man="1"/>
    <brk id="1759" max="10" man="1"/>
    <brk id="1810" max="10" man="1"/>
    <brk id="1884" max="10" man="1"/>
    <brk id="2034" max="10" man="1"/>
    <brk id="2072" max="10" man="1"/>
    <brk id="2120" max="10" man="1"/>
    <brk id="2165" max="10" man="1"/>
    <brk id="2300" max="10" man="1"/>
    <brk id="2378" max="10" man="1"/>
    <brk id="2513" max="10" man="1"/>
    <brk id="2582" max="10" man="1"/>
    <brk id="2783" max="10" man="1"/>
    <brk id="2998" max="10" man="1"/>
    <brk id="3038" max="10" man="1"/>
    <brk id="3071" max="10" man="1"/>
    <brk id="3109" max="10" man="1"/>
    <brk id="3134" max="10" man="1"/>
    <brk id="3193" max="10" man="1"/>
    <brk id="3265" max="10" man="1"/>
    <brk id="3340" max="10" man="1"/>
  </rowBreaks>
  <ignoredErrors>
    <ignoredError sqref="I562 I566 I568 J2020 J2718 H397" formula="1"/>
  </ignoredErrors>
</worksheet>
</file>

<file path=xl/worksheets/sheet4.xml><?xml version="1.0" encoding="utf-8"?>
<worksheet xmlns="http://schemas.openxmlformats.org/spreadsheetml/2006/main" xmlns:r="http://schemas.openxmlformats.org/officeDocument/2006/relationships">
  <sheetPr>
    <tabColor theme="2"/>
  </sheetPr>
  <dimension ref="A1:P38"/>
  <sheetViews>
    <sheetView view="pageBreakPreview" zoomScale="85" zoomScaleNormal="90" zoomScaleSheetLayoutView="85" workbookViewId="0">
      <pane xSplit="1" ySplit="3" topLeftCell="B31" activePane="bottomRight" state="frozen"/>
      <selection activeCell="E40" sqref="E40"/>
      <selection pane="topRight" activeCell="E40" sqref="E40"/>
      <selection pane="bottomLeft" activeCell="E40" sqref="E40"/>
      <selection pane="bottomRight" activeCell="N4" sqref="N4"/>
    </sheetView>
  </sheetViews>
  <sheetFormatPr defaultColWidth="9.140625" defaultRowHeight="18"/>
  <cols>
    <col min="1" max="1" width="6.28515625" style="542" bestFit="1" customWidth="1"/>
    <col min="2" max="2" width="31.28515625" style="542" customWidth="1"/>
    <col min="3" max="3" width="26.7109375" style="542" customWidth="1"/>
    <col min="4" max="4" width="9.28515625" style="542" bestFit="1" customWidth="1"/>
    <col min="5" max="5" width="15.5703125" style="542" customWidth="1"/>
    <col min="6" max="6" width="11.140625" style="542" customWidth="1"/>
    <col min="7" max="7" width="16" style="542" bestFit="1" customWidth="1"/>
    <col min="8" max="8" width="20" style="542" customWidth="1"/>
    <col min="9" max="9" width="15.28515625" style="555" customWidth="1"/>
    <col min="10" max="11" width="9.140625" style="542"/>
    <col min="12" max="13" width="13.7109375" style="543" bestFit="1" customWidth="1"/>
    <col min="14" max="14" width="16.140625" style="543" customWidth="1"/>
    <col min="15" max="15" width="44.5703125" style="543" customWidth="1"/>
    <col min="16" max="16" width="38.5703125" style="543" customWidth="1"/>
    <col min="17" max="16384" width="9.140625" style="542"/>
  </cols>
  <sheetData>
    <row r="1" spans="1:16" ht="63.6" customHeight="1">
      <c r="A1" s="750" t="str">
        <f>Summary!A1</f>
        <v>Estimate for construction of Proposed Working Women's Hostels at Tiruvannamalai.</v>
      </c>
      <c r="B1" s="750"/>
      <c r="C1" s="750"/>
      <c r="D1" s="750"/>
      <c r="E1" s="750"/>
      <c r="F1" s="750"/>
      <c r="G1" s="750"/>
      <c r="H1" s="750"/>
      <c r="I1" s="750"/>
    </row>
    <row r="2" spans="1:16" s="706" customFormat="1" ht="34.9" customHeight="1">
      <c r="A2" s="751" t="s">
        <v>1934</v>
      </c>
      <c r="B2" s="751"/>
      <c r="C2" s="751"/>
      <c r="D2" s="751"/>
      <c r="E2" s="751"/>
      <c r="F2" s="751"/>
      <c r="G2" s="751"/>
      <c r="H2" s="751"/>
      <c r="I2" s="751"/>
      <c r="L2" s="707" t="s">
        <v>675</v>
      </c>
      <c r="M2" s="707" t="s">
        <v>678</v>
      </c>
      <c r="N2" s="752" t="s">
        <v>676</v>
      </c>
      <c r="O2" s="753"/>
      <c r="P2" s="708"/>
    </row>
    <row r="3" spans="1:16" ht="93.75" customHeight="1">
      <c r="A3" s="545" t="s">
        <v>418</v>
      </c>
      <c r="B3" s="545" t="s">
        <v>417</v>
      </c>
      <c r="C3" s="546" t="s">
        <v>416</v>
      </c>
      <c r="D3" s="545" t="s">
        <v>146</v>
      </c>
      <c r="E3" s="545" t="s">
        <v>415</v>
      </c>
      <c r="F3" s="545" t="s">
        <v>414</v>
      </c>
      <c r="G3" s="545" t="s">
        <v>413</v>
      </c>
      <c r="H3" s="545" t="s">
        <v>674</v>
      </c>
      <c r="I3" s="545" t="s">
        <v>412</v>
      </c>
      <c r="L3" s="544"/>
      <c r="M3" s="544"/>
      <c r="N3" s="547" t="s">
        <v>679</v>
      </c>
      <c r="O3" s="548" t="s">
        <v>677</v>
      </c>
      <c r="P3" s="548" t="s">
        <v>763</v>
      </c>
    </row>
    <row r="4" spans="1:16" s="555" customFormat="1" ht="90">
      <c r="A4" s="547">
        <v>1</v>
      </c>
      <c r="B4" s="548" t="s">
        <v>667</v>
      </c>
      <c r="C4" s="549" t="s">
        <v>669</v>
      </c>
      <c r="D4" s="550" t="s">
        <v>399</v>
      </c>
      <c r="E4" s="550" t="s">
        <v>1002</v>
      </c>
      <c r="F4" s="551">
        <v>12</v>
      </c>
      <c r="G4" s="552">
        <v>1312</v>
      </c>
      <c r="H4" s="553">
        <f t="shared" ref="H4:H10" si="0">(10*O$4)+(2*O$5)</f>
        <v>134.07999999999998</v>
      </c>
      <c r="I4" s="554">
        <f t="shared" ref="I4:I15" si="1">SUM(G4:H4)</f>
        <v>1446.08</v>
      </c>
      <c r="L4" s="544" t="s">
        <v>71</v>
      </c>
      <c r="M4" s="544" t="s">
        <v>671</v>
      </c>
      <c r="N4" s="544">
        <v>7.16</v>
      </c>
      <c r="O4" s="556">
        <v>11.45</v>
      </c>
      <c r="P4" s="556">
        <v>16.09</v>
      </c>
    </row>
    <row r="5" spans="1:16" s="555" customFormat="1" ht="90">
      <c r="A5" s="547">
        <v>2</v>
      </c>
      <c r="B5" s="548" t="s">
        <v>668</v>
      </c>
      <c r="C5" s="549" t="s">
        <v>669</v>
      </c>
      <c r="D5" s="550" t="s">
        <v>399</v>
      </c>
      <c r="E5" s="550" t="s">
        <v>1002</v>
      </c>
      <c r="F5" s="551">
        <v>12</v>
      </c>
      <c r="G5" s="552">
        <v>1312</v>
      </c>
      <c r="H5" s="553">
        <f t="shared" si="0"/>
        <v>134.07999999999998</v>
      </c>
      <c r="I5" s="554">
        <f t="shared" si="1"/>
        <v>1446.08</v>
      </c>
      <c r="L5" s="544" t="s">
        <v>70</v>
      </c>
      <c r="M5" s="557" t="s">
        <v>672</v>
      </c>
      <c r="N5" s="544">
        <v>6.13</v>
      </c>
      <c r="O5" s="556">
        <v>9.7899999999999991</v>
      </c>
      <c r="P5" s="556">
        <v>13.78</v>
      </c>
    </row>
    <row r="6" spans="1:16" s="555" customFormat="1" ht="90">
      <c r="A6" s="547">
        <v>3</v>
      </c>
      <c r="B6" s="548" t="s">
        <v>411</v>
      </c>
      <c r="C6" s="549" t="s">
        <v>410</v>
      </c>
      <c r="D6" s="547" t="s">
        <v>399</v>
      </c>
      <c r="E6" s="550" t="s">
        <v>1002</v>
      </c>
      <c r="F6" s="551">
        <v>12</v>
      </c>
      <c r="G6" s="552">
        <v>677</v>
      </c>
      <c r="H6" s="553">
        <f t="shared" si="0"/>
        <v>134.07999999999998</v>
      </c>
      <c r="I6" s="554">
        <f t="shared" si="1"/>
        <v>811.07999999999993</v>
      </c>
      <c r="L6" s="544" t="s">
        <v>69</v>
      </c>
      <c r="M6" s="557" t="s">
        <v>953</v>
      </c>
      <c r="N6" s="544">
        <v>5.27</v>
      </c>
      <c r="O6" s="556">
        <v>8.43</v>
      </c>
      <c r="P6" s="556">
        <v>11.85</v>
      </c>
    </row>
    <row r="7" spans="1:16" s="555" customFormat="1" ht="90">
      <c r="A7" s="547">
        <v>4</v>
      </c>
      <c r="B7" s="548" t="s">
        <v>409</v>
      </c>
      <c r="C7" s="549" t="s">
        <v>408</v>
      </c>
      <c r="D7" s="550" t="s">
        <v>399</v>
      </c>
      <c r="E7" s="550" t="s">
        <v>1002</v>
      </c>
      <c r="F7" s="551">
        <v>12</v>
      </c>
      <c r="G7" s="552">
        <v>1001</v>
      </c>
      <c r="H7" s="553">
        <f t="shared" si="0"/>
        <v>134.07999999999998</v>
      </c>
      <c r="I7" s="554">
        <f t="shared" si="1"/>
        <v>1135.08</v>
      </c>
      <c r="L7" s="544" t="s">
        <v>68</v>
      </c>
      <c r="M7" s="557" t="s">
        <v>1917</v>
      </c>
      <c r="N7" s="544">
        <v>4.54</v>
      </c>
      <c r="O7" s="556">
        <v>7.91</v>
      </c>
      <c r="P7" s="556">
        <v>10.23</v>
      </c>
    </row>
    <row r="8" spans="1:16" s="555" customFormat="1" ht="90">
      <c r="A8" s="547">
        <v>5</v>
      </c>
      <c r="B8" s="548" t="s">
        <v>407</v>
      </c>
      <c r="C8" s="549" t="s">
        <v>406</v>
      </c>
      <c r="D8" s="550" t="s">
        <v>399</v>
      </c>
      <c r="E8" s="550" t="s">
        <v>1002</v>
      </c>
      <c r="F8" s="551">
        <v>12</v>
      </c>
      <c r="G8" s="552">
        <v>1362</v>
      </c>
      <c r="H8" s="553">
        <f t="shared" si="0"/>
        <v>134.07999999999998</v>
      </c>
      <c r="I8" s="554">
        <f t="shared" si="1"/>
        <v>1496.08</v>
      </c>
      <c r="L8" s="544" t="s">
        <v>67</v>
      </c>
      <c r="M8" s="558" t="s">
        <v>1918</v>
      </c>
      <c r="N8" s="544">
        <v>4.1399999999999997</v>
      </c>
      <c r="O8" s="556">
        <v>6.63</v>
      </c>
      <c r="P8" s="556">
        <v>9.33</v>
      </c>
    </row>
    <row r="9" spans="1:16" s="555" customFormat="1" ht="90">
      <c r="A9" s="547">
        <v>6</v>
      </c>
      <c r="B9" s="548" t="s">
        <v>405</v>
      </c>
      <c r="C9" s="549" t="s">
        <v>404</v>
      </c>
      <c r="D9" s="550" t="s">
        <v>399</v>
      </c>
      <c r="E9" s="550" t="s">
        <v>1002</v>
      </c>
      <c r="F9" s="551">
        <v>12</v>
      </c>
      <c r="G9" s="552">
        <v>1467</v>
      </c>
      <c r="H9" s="553">
        <f t="shared" si="0"/>
        <v>134.07999999999998</v>
      </c>
      <c r="I9" s="554">
        <f t="shared" si="1"/>
        <v>1601.08</v>
      </c>
      <c r="L9" s="543"/>
      <c r="M9" s="543"/>
      <c r="N9" s="543"/>
      <c r="O9" s="543"/>
      <c r="P9" s="543"/>
    </row>
    <row r="10" spans="1:16" s="555" customFormat="1" ht="90">
      <c r="A10" s="547">
        <v>7</v>
      </c>
      <c r="B10" s="548" t="s">
        <v>403</v>
      </c>
      <c r="C10" s="549" t="s">
        <v>402</v>
      </c>
      <c r="D10" s="550" t="s">
        <v>399</v>
      </c>
      <c r="E10" s="550" t="s">
        <v>1002</v>
      </c>
      <c r="F10" s="551">
        <v>12</v>
      </c>
      <c r="G10" s="552">
        <v>1054</v>
      </c>
      <c r="H10" s="553">
        <f t="shared" si="0"/>
        <v>134.07999999999998</v>
      </c>
      <c r="I10" s="554">
        <f t="shared" si="1"/>
        <v>1188.08</v>
      </c>
      <c r="L10" s="543"/>
      <c r="M10" s="543"/>
      <c r="N10" s="543"/>
      <c r="O10" s="543"/>
      <c r="P10" s="543"/>
    </row>
    <row r="11" spans="1:16" s="555" customFormat="1" ht="90">
      <c r="A11" s="547">
        <v>8</v>
      </c>
      <c r="B11" s="548" t="s">
        <v>401</v>
      </c>
      <c r="C11" s="549" t="s">
        <v>400</v>
      </c>
      <c r="D11" s="550" t="s">
        <v>399</v>
      </c>
      <c r="E11" s="550" t="s">
        <v>904</v>
      </c>
      <c r="F11" s="551">
        <v>0</v>
      </c>
      <c r="G11" s="552">
        <v>1348</v>
      </c>
      <c r="H11" s="554"/>
      <c r="I11" s="554">
        <f t="shared" si="1"/>
        <v>1348</v>
      </c>
      <c r="L11" s="543"/>
      <c r="M11" s="543"/>
      <c r="N11" s="543"/>
      <c r="O11" s="543"/>
      <c r="P11" s="543"/>
    </row>
    <row r="12" spans="1:16" s="555" customFormat="1" ht="90">
      <c r="A12" s="547">
        <v>9</v>
      </c>
      <c r="B12" s="548" t="s">
        <v>954</v>
      </c>
      <c r="C12" s="549" t="s">
        <v>1004</v>
      </c>
      <c r="D12" s="550" t="s">
        <v>398</v>
      </c>
      <c r="E12" s="550" t="s">
        <v>1003</v>
      </c>
      <c r="F12" s="551">
        <v>2</v>
      </c>
      <c r="G12" s="552">
        <v>6795</v>
      </c>
      <c r="H12" s="541">
        <f>(2*P$4)</f>
        <v>32.18</v>
      </c>
      <c r="I12" s="554">
        <f t="shared" si="1"/>
        <v>6827.18</v>
      </c>
      <c r="L12" s="543"/>
      <c r="M12" s="543"/>
      <c r="N12" s="543"/>
      <c r="O12" s="543"/>
      <c r="P12" s="543"/>
    </row>
    <row r="13" spans="1:16" s="555" customFormat="1" ht="36">
      <c r="A13" s="547">
        <v>10</v>
      </c>
      <c r="B13" s="548" t="s">
        <v>397</v>
      </c>
      <c r="C13" s="549" t="s">
        <v>396</v>
      </c>
      <c r="D13" s="550" t="s">
        <v>279</v>
      </c>
      <c r="E13" s="550" t="s">
        <v>904</v>
      </c>
      <c r="F13" s="551">
        <v>0</v>
      </c>
      <c r="G13" s="552">
        <v>6040</v>
      </c>
      <c r="H13" s="550"/>
      <c r="I13" s="554">
        <f t="shared" si="1"/>
        <v>6040</v>
      </c>
      <c r="L13" s="543"/>
      <c r="M13" s="543"/>
      <c r="N13" s="543"/>
      <c r="O13" s="543"/>
      <c r="P13" s="543"/>
    </row>
    <row r="14" spans="1:16" s="555" customFormat="1" ht="36">
      <c r="A14" s="547">
        <v>11</v>
      </c>
      <c r="B14" s="548" t="s">
        <v>765</v>
      </c>
      <c r="C14" s="549" t="s">
        <v>396</v>
      </c>
      <c r="D14" s="550" t="s">
        <v>279</v>
      </c>
      <c r="E14" s="550" t="s">
        <v>904</v>
      </c>
      <c r="F14" s="551">
        <v>0</v>
      </c>
      <c r="G14" s="552">
        <v>58000</v>
      </c>
      <c r="H14" s="550"/>
      <c r="I14" s="554">
        <f t="shared" si="1"/>
        <v>58000</v>
      </c>
      <c r="L14" s="543"/>
      <c r="M14" s="543"/>
      <c r="N14" s="543"/>
      <c r="O14" s="543"/>
      <c r="P14" s="543"/>
    </row>
    <row r="15" spans="1:16" s="555" customFormat="1" ht="90">
      <c r="A15" s="547">
        <v>12</v>
      </c>
      <c r="B15" s="548" t="s">
        <v>969</v>
      </c>
      <c r="C15" s="549" t="s">
        <v>970</v>
      </c>
      <c r="D15" s="550" t="s">
        <v>279</v>
      </c>
      <c r="E15" s="550" t="s">
        <v>904</v>
      </c>
      <c r="F15" s="551">
        <v>2</v>
      </c>
      <c r="G15" s="552">
        <v>222.7</v>
      </c>
      <c r="H15" s="553">
        <f>(2*O$4)</f>
        <v>22.9</v>
      </c>
      <c r="I15" s="554">
        <f t="shared" si="1"/>
        <v>245.6</v>
      </c>
      <c r="L15" s="543"/>
      <c r="M15" s="543"/>
      <c r="N15" s="543"/>
      <c r="O15" s="543"/>
      <c r="P15" s="543"/>
    </row>
    <row r="16" spans="1:16" s="555" customFormat="1">
      <c r="A16" s="548">
        <v>13</v>
      </c>
      <c r="B16" s="559" t="s">
        <v>695</v>
      </c>
      <c r="C16" s="549"/>
      <c r="D16" s="550"/>
      <c r="E16" s="550"/>
      <c r="F16" s="551"/>
      <c r="G16" s="552"/>
      <c r="H16" s="553"/>
      <c r="I16" s="554"/>
      <c r="L16" s="543"/>
      <c r="M16" s="543"/>
      <c r="N16" s="543"/>
      <c r="O16" s="543"/>
      <c r="P16" s="543"/>
    </row>
    <row r="17" spans="1:16" s="555" customFormat="1" ht="90">
      <c r="A17" s="548"/>
      <c r="B17" s="548" t="s">
        <v>696</v>
      </c>
      <c r="C17" s="549" t="s">
        <v>1914</v>
      </c>
      <c r="D17" s="550" t="s">
        <v>1928</v>
      </c>
      <c r="E17" s="550" t="s">
        <v>1919</v>
      </c>
      <c r="F17" s="551">
        <v>110</v>
      </c>
      <c r="G17" s="552">
        <f>Material!D8*83</f>
        <v>3801.3999999999996</v>
      </c>
      <c r="H17" s="541">
        <f>(10*P$4)+(10*P$5)+(20*P$6)+(40*P$7)+(30*P$8)</f>
        <v>1224.8000000000002</v>
      </c>
      <c r="I17" s="560">
        <f>SUM(G17:H17)</f>
        <v>5026.2</v>
      </c>
      <c r="L17" s="561">
        <f>H17/1000</f>
        <v>1.2248000000000001</v>
      </c>
      <c r="M17" s="543" t="s">
        <v>1923</v>
      </c>
      <c r="N17" s="543"/>
      <c r="O17" s="543"/>
      <c r="P17" s="543"/>
    </row>
    <row r="18" spans="1:16" s="555" customFormat="1" ht="90">
      <c r="A18" s="548"/>
      <c r="B18" s="548" t="s">
        <v>697</v>
      </c>
      <c r="C18" s="549" t="s">
        <v>1915</v>
      </c>
      <c r="D18" s="550" t="s">
        <v>1929</v>
      </c>
      <c r="E18" s="550" t="s">
        <v>1919</v>
      </c>
      <c r="F18" s="551">
        <v>110</v>
      </c>
      <c r="G18" s="552">
        <f>Material!D9*111</f>
        <v>7620.1500000000005</v>
      </c>
      <c r="H18" s="541">
        <f>(10*P$4)+(10*P$5)+(20*P$6)+(40*P$7)+(30*P$8)</f>
        <v>1224.8000000000002</v>
      </c>
      <c r="I18" s="560">
        <f>SUM(G18:H18)</f>
        <v>8844.9500000000007</v>
      </c>
      <c r="L18" s="561">
        <f>H18/1000</f>
        <v>1.2248000000000001</v>
      </c>
      <c r="M18" s="543" t="s">
        <v>1923</v>
      </c>
      <c r="N18" s="543"/>
      <c r="O18" s="543"/>
      <c r="P18" s="543"/>
    </row>
    <row r="19" spans="1:16" s="555" customFormat="1" ht="90">
      <c r="A19" s="548"/>
      <c r="B19" s="548" t="s">
        <v>698</v>
      </c>
      <c r="C19" s="549" t="s">
        <v>1916</v>
      </c>
      <c r="D19" s="550" t="s">
        <v>1927</v>
      </c>
      <c r="E19" s="550" t="s">
        <v>1919</v>
      </c>
      <c r="F19" s="551">
        <v>110</v>
      </c>
      <c r="G19" s="552">
        <f>Material!D10*42</f>
        <v>3847.2</v>
      </c>
      <c r="H19" s="541">
        <f>(10*P$4)+(10*P$5)+(20*P$6)+(40*P$7)+(30*P$8)</f>
        <v>1224.8000000000002</v>
      </c>
      <c r="I19" s="560">
        <f>SUM(G19:H19)</f>
        <v>5072</v>
      </c>
      <c r="L19" s="561">
        <f>H19/1000</f>
        <v>1.2248000000000001</v>
      </c>
      <c r="M19" s="543" t="s">
        <v>1923</v>
      </c>
      <c r="N19" s="543"/>
      <c r="O19" s="543"/>
      <c r="P19" s="543"/>
    </row>
    <row r="20" spans="1:16" s="555" customFormat="1">
      <c r="A20" s="547"/>
      <c r="B20" s="548"/>
      <c r="C20" s="549"/>
      <c r="D20" s="550"/>
      <c r="E20" s="550"/>
      <c r="F20" s="551"/>
      <c r="G20" s="552"/>
      <c r="H20" s="553"/>
      <c r="I20" s="554"/>
      <c r="L20" s="543"/>
      <c r="M20" s="543"/>
      <c r="N20" s="543"/>
      <c r="O20" s="543"/>
      <c r="P20" s="543"/>
    </row>
    <row r="21" spans="1:16">
      <c r="A21" s="547"/>
      <c r="B21" s="562" t="s">
        <v>1444</v>
      </c>
      <c r="C21" s="548"/>
      <c r="D21" s="547"/>
      <c r="E21" s="547"/>
      <c r="F21" s="547"/>
      <c r="G21" s="563"/>
      <c r="H21" s="564"/>
      <c r="I21" s="563"/>
    </row>
    <row r="22" spans="1:16" ht="54">
      <c r="A22" s="565">
        <v>1</v>
      </c>
      <c r="B22" s="548" t="s">
        <v>1445</v>
      </c>
      <c r="C22" s="548" t="s">
        <v>1446</v>
      </c>
      <c r="D22" s="547" t="s">
        <v>399</v>
      </c>
      <c r="E22" s="550" t="s">
        <v>1002</v>
      </c>
      <c r="F22" s="566">
        <v>12</v>
      </c>
      <c r="G22" s="566">
        <v>454</v>
      </c>
      <c r="H22" s="553">
        <f>(10*O$4)+(2*O$5)</f>
        <v>134.07999999999998</v>
      </c>
      <c r="I22" s="567">
        <f t="shared" ref="I22:I38" si="2">G22+H22</f>
        <v>588.07999999999993</v>
      </c>
    </row>
    <row r="23" spans="1:16" ht="54">
      <c r="A23" s="565">
        <f t="shared" ref="A23:A38" si="3">+A22+1</f>
        <v>2</v>
      </c>
      <c r="B23" s="548" t="s">
        <v>1447</v>
      </c>
      <c r="C23" s="548" t="s">
        <v>1446</v>
      </c>
      <c r="D23" s="547" t="s">
        <v>399</v>
      </c>
      <c r="E23" s="550" t="s">
        <v>1002</v>
      </c>
      <c r="F23" s="566">
        <v>12</v>
      </c>
      <c r="G23" s="566">
        <v>507</v>
      </c>
      <c r="H23" s="553">
        <f t="shared" ref="H23:H38" si="4">(10*O$4)+(2*O$5)</f>
        <v>134.07999999999998</v>
      </c>
      <c r="I23" s="567">
        <f t="shared" si="2"/>
        <v>641.07999999999993</v>
      </c>
    </row>
    <row r="24" spans="1:16" ht="54">
      <c r="A24" s="565">
        <f t="shared" si="3"/>
        <v>3</v>
      </c>
      <c r="B24" s="548" t="s">
        <v>1448</v>
      </c>
      <c r="C24" s="548" t="s">
        <v>1446</v>
      </c>
      <c r="D24" s="547" t="s">
        <v>399</v>
      </c>
      <c r="E24" s="550" t="s">
        <v>1002</v>
      </c>
      <c r="F24" s="566">
        <v>12</v>
      </c>
      <c r="G24" s="566">
        <v>656</v>
      </c>
      <c r="H24" s="553">
        <f t="shared" si="4"/>
        <v>134.07999999999998</v>
      </c>
      <c r="I24" s="567">
        <f t="shared" si="2"/>
        <v>790.07999999999993</v>
      </c>
    </row>
    <row r="25" spans="1:16" ht="54">
      <c r="A25" s="565">
        <f t="shared" si="3"/>
        <v>4</v>
      </c>
      <c r="B25" s="548" t="s">
        <v>1449</v>
      </c>
      <c r="C25" s="548" t="s">
        <v>1446</v>
      </c>
      <c r="D25" s="547" t="s">
        <v>399</v>
      </c>
      <c r="E25" s="550" t="s">
        <v>1002</v>
      </c>
      <c r="F25" s="566">
        <v>12</v>
      </c>
      <c r="G25" s="566">
        <v>800</v>
      </c>
      <c r="H25" s="553">
        <f t="shared" si="4"/>
        <v>134.07999999999998</v>
      </c>
      <c r="I25" s="567">
        <f t="shared" si="2"/>
        <v>934.07999999999993</v>
      </c>
    </row>
    <row r="26" spans="1:16" ht="54">
      <c r="A26" s="565">
        <f t="shared" si="3"/>
        <v>5</v>
      </c>
      <c r="B26" s="548" t="s">
        <v>1450</v>
      </c>
      <c r="C26" s="548" t="s">
        <v>1446</v>
      </c>
      <c r="D26" s="547" t="s">
        <v>399</v>
      </c>
      <c r="E26" s="550" t="s">
        <v>1002</v>
      </c>
      <c r="F26" s="566">
        <v>12</v>
      </c>
      <c r="G26" s="566">
        <v>1076</v>
      </c>
      <c r="H26" s="553">
        <f t="shared" si="4"/>
        <v>134.07999999999998</v>
      </c>
      <c r="I26" s="567">
        <f t="shared" si="2"/>
        <v>1210.08</v>
      </c>
    </row>
    <row r="27" spans="1:16" ht="54">
      <c r="A27" s="565">
        <f t="shared" si="3"/>
        <v>6</v>
      </c>
      <c r="B27" s="548" t="s">
        <v>1451</v>
      </c>
      <c r="C27" s="548" t="s">
        <v>1446</v>
      </c>
      <c r="D27" s="547" t="s">
        <v>399</v>
      </c>
      <c r="E27" s="550" t="s">
        <v>1002</v>
      </c>
      <c r="F27" s="566">
        <v>12</v>
      </c>
      <c r="G27" s="566">
        <v>1076</v>
      </c>
      <c r="H27" s="553">
        <f t="shared" si="4"/>
        <v>134.07999999999998</v>
      </c>
      <c r="I27" s="567">
        <f t="shared" si="2"/>
        <v>1210.08</v>
      </c>
    </row>
    <row r="28" spans="1:16" ht="54">
      <c r="A28" s="565">
        <f t="shared" si="3"/>
        <v>7</v>
      </c>
      <c r="B28" s="548" t="s">
        <v>1452</v>
      </c>
      <c r="C28" s="548" t="s">
        <v>1446</v>
      </c>
      <c r="D28" s="547" t="s">
        <v>399</v>
      </c>
      <c r="E28" s="550" t="s">
        <v>1002</v>
      </c>
      <c r="F28" s="566">
        <v>12</v>
      </c>
      <c r="G28" s="566">
        <v>1098</v>
      </c>
      <c r="H28" s="553">
        <f t="shared" si="4"/>
        <v>134.07999999999998</v>
      </c>
      <c r="I28" s="567">
        <f t="shared" si="2"/>
        <v>1232.08</v>
      </c>
    </row>
    <row r="29" spans="1:16" ht="54">
      <c r="A29" s="565">
        <f t="shared" si="3"/>
        <v>8</v>
      </c>
      <c r="B29" s="548" t="s">
        <v>1453</v>
      </c>
      <c r="C29" s="548" t="s">
        <v>1446</v>
      </c>
      <c r="D29" s="547" t="s">
        <v>399</v>
      </c>
      <c r="E29" s="550" t="s">
        <v>1002</v>
      </c>
      <c r="F29" s="566">
        <v>12</v>
      </c>
      <c r="G29" s="566">
        <v>1036</v>
      </c>
      <c r="H29" s="553">
        <f t="shared" si="4"/>
        <v>134.07999999999998</v>
      </c>
      <c r="I29" s="567">
        <f t="shared" si="2"/>
        <v>1170.08</v>
      </c>
    </row>
    <row r="30" spans="1:16" ht="54">
      <c r="A30" s="565">
        <f t="shared" si="3"/>
        <v>9</v>
      </c>
      <c r="B30" s="548" t="s">
        <v>1454</v>
      </c>
      <c r="C30" s="548" t="s">
        <v>1446</v>
      </c>
      <c r="D30" s="547" t="s">
        <v>399</v>
      </c>
      <c r="E30" s="550" t="s">
        <v>1002</v>
      </c>
      <c r="F30" s="566">
        <v>12</v>
      </c>
      <c r="G30" s="566">
        <v>1036</v>
      </c>
      <c r="H30" s="553">
        <f t="shared" si="4"/>
        <v>134.07999999999998</v>
      </c>
      <c r="I30" s="567">
        <f t="shared" si="2"/>
        <v>1170.08</v>
      </c>
    </row>
    <row r="31" spans="1:16" ht="54">
      <c r="A31" s="565">
        <f t="shared" si="3"/>
        <v>10</v>
      </c>
      <c r="B31" s="548" t="s">
        <v>1455</v>
      </c>
      <c r="C31" s="548" t="s">
        <v>1446</v>
      </c>
      <c r="D31" s="547" t="s">
        <v>399</v>
      </c>
      <c r="E31" s="550" t="s">
        <v>1002</v>
      </c>
      <c r="F31" s="566">
        <v>12</v>
      </c>
      <c r="G31" s="566">
        <v>1506</v>
      </c>
      <c r="H31" s="553">
        <f t="shared" si="4"/>
        <v>134.07999999999998</v>
      </c>
      <c r="I31" s="567">
        <f t="shared" si="2"/>
        <v>1640.08</v>
      </c>
    </row>
    <row r="32" spans="1:16" ht="54">
      <c r="A32" s="565">
        <f t="shared" si="3"/>
        <v>11</v>
      </c>
      <c r="B32" s="548" t="s">
        <v>1456</v>
      </c>
      <c r="C32" s="548" t="s">
        <v>1446</v>
      </c>
      <c r="D32" s="547" t="s">
        <v>399</v>
      </c>
      <c r="E32" s="550" t="s">
        <v>1002</v>
      </c>
      <c r="F32" s="566">
        <v>12</v>
      </c>
      <c r="G32" s="566">
        <v>1397</v>
      </c>
      <c r="H32" s="553">
        <f t="shared" si="4"/>
        <v>134.07999999999998</v>
      </c>
      <c r="I32" s="567">
        <f t="shared" si="2"/>
        <v>1531.08</v>
      </c>
    </row>
    <row r="33" spans="1:9" ht="54">
      <c r="A33" s="565">
        <f t="shared" si="3"/>
        <v>12</v>
      </c>
      <c r="B33" s="548" t="s">
        <v>1457</v>
      </c>
      <c r="C33" s="548" t="s">
        <v>1446</v>
      </c>
      <c r="D33" s="547" t="s">
        <v>399</v>
      </c>
      <c r="E33" s="550" t="s">
        <v>1002</v>
      </c>
      <c r="F33" s="566">
        <v>12</v>
      </c>
      <c r="G33" s="566">
        <v>947</v>
      </c>
      <c r="H33" s="553">
        <f t="shared" si="4"/>
        <v>134.07999999999998</v>
      </c>
      <c r="I33" s="567">
        <f t="shared" si="2"/>
        <v>1081.08</v>
      </c>
    </row>
    <row r="34" spans="1:9" ht="54">
      <c r="A34" s="565">
        <f t="shared" si="3"/>
        <v>13</v>
      </c>
      <c r="B34" s="548" t="s">
        <v>1458</v>
      </c>
      <c r="C34" s="548" t="s">
        <v>1446</v>
      </c>
      <c r="D34" s="547" t="s">
        <v>399</v>
      </c>
      <c r="E34" s="550" t="s">
        <v>1002</v>
      </c>
      <c r="F34" s="566">
        <v>12</v>
      </c>
      <c r="G34" s="566">
        <v>702</v>
      </c>
      <c r="H34" s="553">
        <f t="shared" si="4"/>
        <v>134.07999999999998</v>
      </c>
      <c r="I34" s="567">
        <f t="shared" si="2"/>
        <v>836.07999999999993</v>
      </c>
    </row>
    <row r="35" spans="1:9" ht="54">
      <c r="A35" s="565">
        <f t="shared" si="3"/>
        <v>14</v>
      </c>
      <c r="B35" s="548" t="s">
        <v>1459</v>
      </c>
      <c r="C35" s="548" t="s">
        <v>1446</v>
      </c>
      <c r="D35" s="547" t="s">
        <v>399</v>
      </c>
      <c r="E35" s="550" t="s">
        <v>1002</v>
      </c>
      <c r="F35" s="566">
        <v>12</v>
      </c>
      <c r="G35" s="566">
        <v>702</v>
      </c>
      <c r="H35" s="553">
        <f t="shared" si="4"/>
        <v>134.07999999999998</v>
      </c>
      <c r="I35" s="567">
        <f t="shared" si="2"/>
        <v>836.07999999999993</v>
      </c>
    </row>
    <row r="36" spans="1:9" ht="54">
      <c r="A36" s="565">
        <f t="shared" si="3"/>
        <v>15</v>
      </c>
      <c r="B36" s="548" t="s">
        <v>1460</v>
      </c>
      <c r="C36" s="548" t="s">
        <v>1446</v>
      </c>
      <c r="D36" s="547" t="s">
        <v>399</v>
      </c>
      <c r="E36" s="550" t="s">
        <v>1002</v>
      </c>
      <c r="F36" s="566">
        <v>12</v>
      </c>
      <c r="G36" s="566">
        <v>702</v>
      </c>
      <c r="H36" s="553">
        <f t="shared" si="4"/>
        <v>134.07999999999998</v>
      </c>
      <c r="I36" s="567">
        <f t="shared" si="2"/>
        <v>836.07999999999993</v>
      </c>
    </row>
    <row r="37" spans="1:9" ht="54">
      <c r="A37" s="565">
        <f t="shared" si="3"/>
        <v>16</v>
      </c>
      <c r="B37" s="548" t="s">
        <v>1461</v>
      </c>
      <c r="C37" s="548" t="s">
        <v>1446</v>
      </c>
      <c r="D37" s="547" t="s">
        <v>399</v>
      </c>
      <c r="E37" s="550" t="s">
        <v>1002</v>
      </c>
      <c r="F37" s="566">
        <v>12</v>
      </c>
      <c r="G37" s="566">
        <v>621</v>
      </c>
      <c r="H37" s="553">
        <f t="shared" si="4"/>
        <v>134.07999999999998</v>
      </c>
      <c r="I37" s="567">
        <f t="shared" si="2"/>
        <v>755.07999999999993</v>
      </c>
    </row>
    <row r="38" spans="1:9" ht="54">
      <c r="A38" s="565">
        <f t="shared" si="3"/>
        <v>17</v>
      </c>
      <c r="B38" s="548" t="s">
        <v>1462</v>
      </c>
      <c r="C38" s="548" t="s">
        <v>1446</v>
      </c>
      <c r="D38" s="547" t="s">
        <v>399</v>
      </c>
      <c r="E38" s="550" t="s">
        <v>1002</v>
      </c>
      <c r="F38" s="566">
        <v>12</v>
      </c>
      <c r="G38" s="566">
        <v>621</v>
      </c>
      <c r="H38" s="553">
        <f t="shared" si="4"/>
        <v>134.07999999999998</v>
      </c>
      <c r="I38" s="567">
        <f t="shared" si="2"/>
        <v>755.07999999999993</v>
      </c>
    </row>
  </sheetData>
  <mergeCells count="3">
    <mergeCell ref="A1:I1"/>
    <mergeCell ref="A2:I2"/>
    <mergeCell ref="N2:O2"/>
  </mergeCells>
  <printOptions horizontalCentered="1"/>
  <pageMargins left="0.59055118110236204" right="0.39370078740157499" top="0.74803149606299202" bottom="0.74803149606299202" header="0.31496062992126" footer="0.31496062992126"/>
  <pageSetup paperSize="9" scale="56" fitToWidth="0" fitToHeight="0" orientation="portrait" r:id="rId1"/>
  <headerFooter scaleWithDoc="0">
    <oddHeader>&amp;LProposed Working Women's Hostels for TNWWHSB at Tiruvannamalai.&amp;R&amp;A</oddHeader>
    <oddFooter>&amp;L&amp;"Verdana,Regular"&amp;10DIUS Design Consultants Pvt Ltd&amp;C&amp;"Verdana,Regular"&amp;10&amp;P of &amp;N&amp;R&amp;"Verdana,Regular"&amp;10Knight Frank (India) Pvt Ltd</oddFooter>
  </headerFooter>
  <rowBreaks count="1" manualBreakCount="1">
    <brk id="15" max="8" man="1"/>
  </rowBreaks>
</worksheet>
</file>

<file path=xl/worksheets/sheet5.xml><?xml version="1.0" encoding="utf-8"?>
<worksheet xmlns="http://schemas.openxmlformats.org/spreadsheetml/2006/main" xmlns:r="http://schemas.openxmlformats.org/officeDocument/2006/relationships">
  <dimension ref="A1:R1261"/>
  <sheetViews>
    <sheetView view="pageBreakPreview" zoomScale="85" zoomScaleNormal="80" zoomScaleSheetLayoutView="85" workbookViewId="0">
      <pane xSplit="3" ySplit="3" topLeftCell="D4" activePane="bottomRight" state="frozen"/>
      <selection activeCell="E40" sqref="E40"/>
      <selection pane="topRight" activeCell="E40" sqref="E40"/>
      <selection pane="bottomLeft" activeCell="E40" sqref="E40"/>
      <selection pane="bottomRight" activeCell="E6" sqref="E6"/>
    </sheetView>
  </sheetViews>
  <sheetFormatPr defaultColWidth="9.140625" defaultRowHeight="12.75"/>
  <cols>
    <col min="1" max="1" width="7.42578125" style="414" bestFit="1" customWidth="1"/>
    <col min="2" max="2" width="12.5703125" style="415" bestFit="1" customWidth="1"/>
    <col min="3" max="3" width="8.42578125" style="416" customWidth="1"/>
    <col min="4" max="4" width="87.85546875" style="417" customWidth="1"/>
    <col min="5" max="5" width="22.140625" style="416" customWidth="1"/>
    <col min="6" max="6" width="12.85546875" style="416" bestFit="1" customWidth="1"/>
    <col min="7" max="7" width="24" style="418" bestFit="1" customWidth="1"/>
    <col min="8" max="8" width="15.7109375" style="275" customWidth="1"/>
    <col min="9" max="9" width="16.140625" style="275" bestFit="1" customWidth="1"/>
    <col min="10" max="10" width="10.42578125" style="275" bestFit="1" customWidth="1"/>
    <col min="11" max="12" width="14" style="275" bestFit="1" customWidth="1"/>
    <col min="13" max="13" width="10.42578125" style="275" bestFit="1" customWidth="1"/>
    <col min="14" max="14" width="12.140625" style="275" customWidth="1"/>
    <col min="15" max="15" width="12.140625" style="275" bestFit="1" customWidth="1"/>
    <col min="16" max="16" width="10.42578125" style="275" bestFit="1" customWidth="1"/>
    <col min="17" max="210" width="9.140625" style="275"/>
    <col min="211" max="211" width="2.28515625" style="275" customWidth="1"/>
    <col min="212" max="212" width="8.140625" style="275" bestFit="1" customWidth="1"/>
    <col min="213" max="213" width="6" style="275" bestFit="1" customWidth="1"/>
    <col min="214" max="214" width="45.140625" style="275" customWidth="1"/>
    <col min="215" max="215" width="10.140625" style="275" bestFit="1" customWidth="1"/>
    <col min="216" max="216" width="9" style="275" bestFit="1" customWidth="1"/>
    <col min="217" max="217" width="11.85546875" style="275" bestFit="1" customWidth="1"/>
    <col min="218" max="243" width="0" style="275" hidden="1" customWidth="1"/>
    <col min="244" max="244" width="63.5703125" style="275" customWidth="1"/>
    <col min="245" max="245" width="9.140625" style="275"/>
    <col min="246" max="246" width="9.85546875" style="275" bestFit="1" customWidth="1"/>
    <col min="247" max="16384" width="9.140625" style="275"/>
  </cols>
  <sheetData>
    <row r="1" spans="1:7" ht="57.6" customHeight="1">
      <c r="A1" s="754" t="str">
        <f>Summary!A1</f>
        <v>Estimate for construction of Proposed Working Women's Hostels at Tiruvannamalai.</v>
      </c>
      <c r="B1" s="754"/>
      <c r="C1" s="754"/>
      <c r="D1" s="754"/>
      <c r="E1" s="754"/>
      <c r="F1" s="754"/>
      <c r="G1" s="754"/>
    </row>
    <row r="2" spans="1:7" ht="30" customHeight="1">
      <c r="A2" s="755" t="s">
        <v>565</v>
      </c>
      <c r="B2" s="755"/>
      <c r="C2" s="755"/>
      <c r="D2" s="755"/>
      <c r="E2" s="755"/>
      <c r="F2" s="755"/>
      <c r="G2" s="755"/>
    </row>
    <row r="3" spans="1:7" ht="23.45" customHeight="1">
      <c r="A3" s="226" t="s">
        <v>395</v>
      </c>
      <c r="B3" s="347" t="s">
        <v>394</v>
      </c>
      <c r="C3" s="348" t="s">
        <v>146</v>
      </c>
      <c r="D3" s="349" t="s">
        <v>393</v>
      </c>
      <c r="E3" s="348" t="s">
        <v>392</v>
      </c>
      <c r="F3" s="348" t="s">
        <v>391</v>
      </c>
      <c r="G3" s="350" t="s">
        <v>390</v>
      </c>
    </row>
    <row r="4" spans="1:7" ht="18">
      <c r="A4" s="226"/>
      <c r="B4" s="169"/>
      <c r="C4" s="170"/>
      <c r="D4" s="272" t="s">
        <v>389</v>
      </c>
      <c r="E4" s="170"/>
      <c r="F4" s="170"/>
      <c r="G4" s="232"/>
    </row>
    <row r="5" spans="1:7" ht="18">
      <c r="A5" s="226"/>
      <c r="B5" s="169"/>
      <c r="C5" s="170" t="s">
        <v>371</v>
      </c>
      <c r="D5" s="277" t="s">
        <v>388</v>
      </c>
      <c r="E5" s="172"/>
      <c r="F5" s="170"/>
      <c r="G5" s="195"/>
    </row>
    <row r="6" spans="1:7" ht="18">
      <c r="A6" s="226"/>
      <c r="B6" s="169">
        <v>1.44</v>
      </c>
      <c r="C6" s="170" t="s">
        <v>279</v>
      </c>
      <c r="D6" s="277" t="s">
        <v>355</v>
      </c>
      <c r="E6" s="172">
        <f>'Lead Statement'!I13</f>
        <v>6040</v>
      </c>
      <c r="F6" s="170" t="s">
        <v>279</v>
      </c>
      <c r="G6" s="232">
        <f>(B6*E6)</f>
        <v>8697.6</v>
      </c>
    </row>
    <row r="7" spans="1:7" ht="18">
      <c r="A7" s="226"/>
      <c r="B7" s="169">
        <v>1</v>
      </c>
      <c r="C7" s="170" t="s">
        <v>348</v>
      </c>
      <c r="D7" s="277" t="s">
        <v>356</v>
      </c>
      <c r="E7" s="172">
        <f>+'Lead Statement'!I4</f>
        <v>1446.08</v>
      </c>
      <c r="F7" s="170" t="s">
        <v>348</v>
      </c>
      <c r="G7" s="232">
        <f>(B7*E7)</f>
        <v>1446.08</v>
      </c>
    </row>
    <row r="8" spans="1:7" ht="18">
      <c r="A8" s="226"/>
      <c r="B8" s="169">
        <v>1</v>
      </c>
      <c r="C8" s="170" t="s">
        <v>348</v>
      </c>
      <c r="D8" s="277" t="s">
        <v>379</v>
      </c>
      <c r="E8" s="172">
        <f>Labour!E20</f>
        <v>110</v>
      </c>
      <c r="F8" s="170" t="s">
        <v>348</v>
      </c>
      <c r="G8" s="232">
        <f>(B8*E8)</f>
        <v>110</v>
      </c>
    </row>
    <row r="9" spans="1:7" ht="18">
      <c r="A9" s="226"/>
      <c r="B9" s="169"/>
      <c r="C9" s="170"/>
      <c r="D9" s="272" t="s">
        <v>373</v>
      </c>
      <c r="E9" s="172"/>
      <c r="F9" s="170"/>
      <c r="G9" s="267">
        <f>SUM(G6:G8)</f>
        <v>10253.68</v>
      </c>
    </row>
    <row r="10" spans="1:7" ht="18">
      <c r="A10" s="226"/>
      <c r="B10" s="169"/>
      <c r="C10" s="170"/>
      <c r="D10" s="272"/>
      <c r="E10" s="172"/>
      <c r="F10" s="170"/>
      <c r="G10" s="267"/>
    </row>
    <row r="11" spans="1:7" ht="18">
      <c r="A11" s="226"/>
      <c r="B11" s="169"/>
      <c r="C11" s="170" t="s">
        <v>371</v>
      </c>
      <c r="D11" s="277" t="s">
        <v>387</v>
      </c>
      <c r="E11" s="172"/>
      <c r="F11" s="170"/>
      <c r="G11" s="195"/>
    </row>
    <row r="12" spans="1:7" ht="18">
      <c r="A12" s="226"/>
      <c r="B12" s="169">
        <v>0.96</v>
      </c>
      <c r="C12" s="170" t="s">
        <v>279</v>
      </c>
      <c r="D12" s="277" t="s">
        <v>355</v>
      </c>
      <c r="E12" s="172">
        <f>E6</f>
        <v>6040</v>
      </c>
      <c r="F12" s="170" t="s">
        <v>279</v>
      </c>
      <c r="G12" s="232">
        <f>(B12*E12)</f>
        <v>5798.4</v>
      </c>
    </row>
    <row r="13" spans="1:7" ht="18">
      <c r="A13" s="226"/>
      <c r="B13" s="169">
        <v>1</v>
      </c>
      <c r="C13" s="170" t="s">
        <v>348</v>
      </c>
      <c r="D13" s="277" t="s">
        <v>356</v>
      </c>
      <c r="E13" s="172">
        <f>E7</f>
        <v>1446.08</v>
      </c>
      <c r="F13" s="170" t="s">
        <v>348</v>
      </c>
      <c r="G13" s="232">
        <f>(B13*E13)</f>
        <v>1446.08</v>
      </c>
    </row>
    <row r="14" spans="1:7" ht="18">
      <c r="A14" s="226"/>
      <c r="B14" s="169">
        <v>1</v>
      </c>
      <c r="C14" s="170" t="s">
        <v>348</v>
      </c>
      <c r="D14" s="277" t="s">
        <v>379</v>
      </c>
      <c r="E14" s="172">
        <f>E8</f>
        <v>110</v>
      </c>
      <c r="F14" s="170" t="s">
        <v>348</v>
      </c>
      <c r="G14" s="232">
        <f>(B14*E14)</f>
        <v>110</v>
      </c>
    </row>
    <row r="15" spans="1:7" ht="18">
      <c r="A15" s="226"/>
      <c r="B15" s="169"/>
      <c r="C15" s="170"/>
      <c r="D15" s="272" t="s">
        <v>373</v>
      </c>
      <c r="E15" s="172"/>
      <c r="F15" s="170"/>
      <c r="G15" s="267">
        <f>SUM(G12:G14)</f>
        <v>7354.48</v>
      </c>
    </row>
    <row r="16" spans="1:7" ht="18">
      <c r="A16" s="226"/>
      <c r="B16" s="169"/>
      <c r="C16" s="170"/>
      <c r="D16" s="277"/>
      <c r="E16" s="172"/>
      <c r="F16" s="170"/>
      <c r="G16" s="232"/>
    </row>
    <row r="17" spans="1:7" ht="18">
      <c r="A17" s="226"/>
      <c r="B17" s="169"/>
      <c r="C17" s="170" t="s">
        <v>371</v>
      </c>
      <c r="D17" s="277" t="s">
        <v>386</v>
      </c>
      <c r="E17" s="172"/>
      <c r="F17" s="170"/>
      <c r="G17" s="195"/>
    </row>
    <row r="18" spans="1:7" ht="18">
      <c r="A18" s="226"/>
      <c r="B18" s="169">
        <v>0.72</v>
      </c>
      <c r="C18" s="170" t="s">
        <v>279</v>
      </c>
      <c r="D18" s="277" t="s">
        <v>355</v>
      </c>
      <c r="E18" s="172">
        <f>E12</f>
        <v>6040</v>
      </c>
      <c r="F18" s="170" t="s">
        <v>279</v>
      </c>
      <c r="G18" s="232">
        <f>(B18*E18)</f>
        <v>4348.8</v>
      </c>
    </row>
    <row r="19" spans="1:7" ht="18">
      <c r="A19" s="226"/>
      <c r="B19" s="169">
        <v>1</v>
      </c>
      <c r="C19" s="170" t="s">
        <v>348</v>
      </c>
      <c r="D19" s="277" t="s">
        <v>356</v>
      </c>
      <c r="E19" s="172">
        <f>E13</f>
        <v>1446.08</v>
      </c>
      <c r="F19" s="170" t="s">
        <v>348</v>
      </c>
      <c r="G19" s="232">
        <f>(B19*E19)</f>
        <v>1446.08</v>
      </c>
    </row>
    <row r="20" spans="1:7" ht="18">
      <c r="A20" s="226"/>
      <c r="B20" s="169">
        <v>1</v>
      </c>
      <c r="C20" s="170" t="s">
        <v>348</v>
      </c>
      <c r="D20" s="277" t="s">
        <v>379</v>
      </c>
      <c r="E20" s="172">
        <f>E14</f>
        <v>110</v>
      </c>
      <c r="F20" s="170" t="s">
        <v>348</v>
      </c>
      <c r="G20" s="232">
        <f>(B20*E20)</f>
        <v>110</v>
      </c>
    </row>
    <row r="21" spans="1:7" ht="18">
      <c r="A21" s="226"/>
      <c r="B21" s="169"/>
      <c r="C21" s="170"/>
      <c r="D21" s="272" t="s">
        <v>373</v>
      </c>
      <c r="E21" s="172"/>
      <c r="F21" s="170"/>
      <c r="G21" s="267">
        <f>SUM(G18:G20)</f>
        <v>5904.88</v>
      </c>
    </row>
    <row r="22" spans="1:7" ht="18">
      <c r="A22" s="226"/>
      <c r="B22" s="169"/>
      <c r="C22" s="170"/>
      <c r="D22" s="277"/>
      <c r="E22" s="172"/>
      <c r="F22" s="170"/>
      <c r="G22" s="232"/>
    </row>
    <row r="23" spans="1:7" ht="18">
      <c r="A23" s="226"/>
      <c r="B23" s="169"/>
      <c r="C23" s="170" t="s">
        <v>371</v>
      </c>
      <c r="D23" s="277" t="s">
        <v>385</v>
      </c>
      <c r="E23" s="172"/>
      <c r="F23" s="170"/>
      <c r="G23" s="195"/>
    </row>
    <row r="24" spans="1:7" ht="18">
      <c r="A24" s="226"/>
      <c r="B24" s="169">
        <v>0.48</v>
      </c>
      <c r="C24" s="170" t="s">
        <v>279</v>
      </c>
      <c r="D24" s="277" t="s">
        <v>355</v>
      </c>
      <c r="E24" s="172">
        <f>E12</f>
        <v>6040</v>
      </c>
      <c r="F24" s="170" t="s">
        <v>279</v>
      </c>
      <c r="G24" s="232">
        <f>(B24*E24)</f>
        <v>2899.2</v>
      </c>
    </row>
    <row r="25" spans="1:7" ht="18">
      <c r="A25" s="226"/>
      <c r="B25" s="169">
        <v>1</v>
      </c>
      <c r="C25" s="170" t="s">
        <v>348</v>
      </c>
      <c r="D25" s="277" t="s">
        <v>356</v>
      </c>
      <c r="E25" s="172">
        <f>E13</f>
        <v>1446.08</v>
      </c>
      <c r="F25" s="170" t="s">
        <v>348</v>
      </c>
      <c r="G25" s="232">
        <f>(B25*E25)</f>
        <v>1446.08</v>
      </c>
    </row>
    <row r="26" spans="1:7" ht="18">
      <c r="A26" s="226"/>
      <c r="B26" s="169">
        <v>1</v>
      </c>
      <c r="C26" s="170" t="s">
        <v>348</v>
      </c>
      <c r="D26" s="277" t="s">
        <v>379</v>
      </c>
      <c r="E26" s="172">
        <f>E14</f>
        <v>110</v>
      </c>
      <c r="F26" s="170" t="s">
        <v>348</v>
      </c>
      <c r="G26" s="232">
        <f>(B26*E26)</f>
        <v>110</v>
      </c>
    </row>
    <row r="27" spans="1:7" ht="18">
      <c r="A27" s="226"/>
      <c r="B27" s="169"/>
      <c r="C27" s="170"/>
      <c r="D27" s="272" t="s">
        <v>373</v>
      </c>
      <c r="E27" s="172"/>
      <c r="F27" s="170"/>
      <c r="G27" s="267">
        <f>SUM(G24:G26)</f>
        <v>4455.28</v>
      </c>
    </row>
    <row r="28" spans="1:7" ht="18">
      <c r="A28" s="226"/>
      <c r="B28" s="169"/>
      <c r="C28" s="170"/>
      <c r="D28" s="277"/>
      <c r="E28" s="172"/>
      <c r="F28" s="170"/>
      <c r="G28" s="232"/>
    </row>
    <row r="29" spans="1:7" ht="18">
      <c r="A29" s="226"/>
      <c r="B29" s="169"/>
      <c r="C29" s="170" t="s">
        <v>371</v>
      </c>
      <c r="D29" s="277" t="s">
        <v>384</v>
      </c>
      <c r="E29" s="172"/>
      <c r="F29" s="170"/>
      <c r="G29" s="195"/>
    </row>
    <row r="30" spans="1:7" ht="18">
      <c r="A30" s="226"/>
      <c r="B30" s="169">
        <v>0.36</v>
      </c>
      <c r="C30" s="170" t="s">
        <v>279</v>
      </c>
      <c r="D30" s="277" t="s">
        <v>355</v>
      </c>
      <c r="E30" s="172">
        <f>E12</f>
        <v>6040</v>
      </c>
      <c r="F30" s="170" t="s">
        <v>279</v>
      </c>
      <c r="G30" s="232">
        <f>(B30*E30)</f>
        <v>2174.4</v>
      </c>
    </row>
    <row r="31" spans="1:7" ht="18">
      <c r="A31" s="226"/>
      <c r="B31" s="169">
        <v>1</v>
      </c>
      <c r="C31" s="170" t="s">
        <v>348</v>
      </c>
      <c r="D31" s="277" t="s">
        <v>356</v>
      </c>
      <c r="E31" s="172">
        <f>E13</f>
        <v>1446.08</v>
      </c>
      <c r="F31" s="170" t="s">
        <v>348</v>
      </c>
      <c r="G31" s="232">
        <f>(B31*E31)</f>
        <v>1446.08</v>
      </c>
    </row>
    <row r="32" spans="1:7" ht="18">
      <c r="A32" s="226"/>
      <c r="B32" s="169">
        <v>1</v>
      </c>
      <c r="C32" s="170" t="s">
        <v>348</v>
      </c>
      <c r="D32" s="277" t="s">
        <v>379</v>
      </c>
      <c r="E32" s="172">
        <f>E14</f>
        <v>110</v>
      </c>
      <c r="F32" s="170" t="s">
        <v>348</v>
      </c>
      <c r="G32" s="232">
        <f>(B32*E32)</f>
        <v>110</v>
      </c>
    </row>
    <row r="33" spans="1:7" ht="18">
      <c r="A33" s="226"/>
      <c r="B33" s="169"/>
      <c r="C33" s="170"/>
      <c r="D33" s="272" t="s">
        <v>373</v>
      </c>
      <c r="E33" s="172"/>
      <c r="F33" s="170"/>
      <c r="G33" s="267">
        <f>SUM(G30:G32)</f>
        <v>3730.48</v>
      </c>
    </row>
    <row r="34" spans="1:7" ht="18">
      <c r="A34" s="226"/>
      <c r="B34" s="169"/>
      <c r="C34" s="170"/>
      <c r="D34" s="277"/>
      <c r="E34" s="172"/>
      <c r="F34" s="170"/>
      <c r="G34" s="232"/>
    </row>
    <row r="35" spans="1:7" ht="18">
      <c r="A35" s="226"/>
      <c r="B35" s="169"/>
      <c r="C35" s="170" t="s">
        <v>371</v>
      </c>
      <c r="D35" s="277" t="s">
        <v>383</v>
      </c>
      <c r="E35" s="172"/>
      <c r="F35" s="170"/>
      <c r="G35" s="195"/>
    </row>
    <row r="36" spans="1:7" ht="18">
      <c r="A36" s="226"/>
      <c r="B36" s="169">
        <v>0.28999999999999998</v>
      </c>
      <c r="C36" s="170" t="s">
        <v>279</v>
      </c>
      <c r="D36" s="277" t="s">
        <v>355</v>
      </c>
      <c r="E36" s="172">
        <f>E30</f>
        <v>6040</v>
      </c>
      <c r="F36" s="170" t="s">
        <v>279</v>
      </c>
      <c r="G36" s="232">
        <f>(B36*E36)</f>
        <v>1751.6</v>
      </c>
    </row>
    <row r="37" spans="1:7" ht="18">
      <c r="A37" s="226"/>
      <c r="B37" s="169">
        <v>1</v>
      </c>
      <c r="C37" s="170" t="s">
        <v>348</v>
      </c>
      <c r="D37" s="277" t="s">
        <v>356</v>
      </c>
      <c r="E37" s="172">
        <f>E31</f>
        <v>1446.08</v>
      </c>
      <c r="F37" s="170" t="s">
        <v>348</v>
      </c>
      <c r="G37" s="232">
        <f>(B37*E37)</f>
        <v>1446.08</v>
      </c>
    </row>
    <row r="38" spans="1:7" ht="18">
      <c r="A38" s="226"/>
      <c r="B38" s="169">
        <v>1</v>
      </c>
      <c r="C38" s="170" t="s">
        <v>348</v>
      </c>
      <c r="D38" s="277" t="s">
        <v>379</v>
      </c>
      <c r="E38" s="172">
        <f>E32</f>
        <v>110</v>
      </c>
      <c r="F38" s="170" t="s">
        <v>348</v>
      </c>
      <c r="G38" s="232">
        <f>(B38*E38)</f>
        <v>110</v>
      </c>
    </row>
    <row r="39" spans="1:7" ht="18">
      <c r="A39" s="226"/>
      <c r="B39" s="169"/>
      <c r="C39" s="170"/>
      <c r="D39" s="272" t="s">
        <v>373</v>
      </c>
      <c r="E39" s="172"/>
      <c r="F39" s="170"/>
      <c r="G39" s="267">
        <f>SUM(G36:G38)</f>
        <v>3307.68</v>
      </c>
    </row>
    <row r="40" spans="1:7" ht="18">
      <c r="A40" s="226"/>
      <c r="B40" s="169"/>
      <c r="C40" s="170"/>
      <c r="D40" s="277"/>
      <c r="E40" s="172"/>
      <c r="F40" s="170"/>
      <c r="G40" s="232"/>
    </row>
    <row r="41" spans="1:7" ht="18">
      <c r="A41" s="226"/>
      <c r="B41" s="169"/>
      <c r="C41" s="170" t="s">
        <v>371</v>
      </c>
      <c r="D41" s="277" t="s">
        <v>382</v>
      </c>
      <c r="E41" s="172"/>
      <c r="F41" s="170"/>
      <c r="G41" s="195"/>
    </row>
    <row r="42" spans="1:7" ht="18">
      <c r="A42" s="226"/>
      <c r="B42" s="169">
        <v>0.24</v>
      </c>
      <c r="C42" s="170" t="s">
        <v>279</v>
      </c>
      <c r="D42" s="277" t="s">
        <v>355</v>
      </c>
      <c r="E42" s="172">
        <f>E30</f>
        <v>6040</v>
      </c>
      <c r="F42" s="170" t="s">
        <v>279</v>
      </c>
      <c r="G42" s="232">
        <f>(B42*E42)</f>
        <v>1449.6</v>
      </c>
    </row>
    <row r="43" spans="1:7" ht="18">
      <c r="A43" s="226"/>
      <c r="B43" s="169">
        <v>1</v>
      </c>
      <c r="C43" s="170" t="s">
        <v>348</v>
      </c>
      <c r="D43" s="277" t="s">
        <v>356</v>
      </c>
      <c r="E43" s="172">
        <f>E31</f>
        <v>1446.08</v>
      </c>
      <c r="F43" s="170" t="s">
        <v>348</v>
      </c>
      <c r="G43" s="232">
        <f>(B43*E43)</f>
        <v>1446.08</v>
      </c>
    </row>
    <row r="44" spans="1:7" ht="18">
      <c r="A44" s="226"/>
      <c r="B44" s="169">
        <v>1</v>
      </c>
      <c r="C44" s="170" t="s">
        <v>348</v>
      </c>
      <c r="D44" s="277" t="s">
        <v>379</v>
      </c>
      <c r="E44" s="172">
        <f>E32</f>
        <v>110</v>
      </c>
      <c r="F44" s="170" t="s">
        <v>348</v>
      </c>
      <c r="G44" s="232">
        <f>(B44*E44)</f>
        <v>110</v>
      </c>
    </row>
    <row r="45" spans="1:7" ht="18">
      <c r="A45" s="226"/>
      <c r="B45" s="169"/>
      <c r="C45" s="170"/>
      <c r="D45" s="272" t="s">
        <v>373</v>
      </c>
      <c r="E45" s="172"/>
      <c r="F45" s="170"/>
      <c r="G45" s="267">
        <f>SUM(G42:G44)</f>
        <v>3005.68</v>
      </c>
    </row>
    <row r="46" spans="1:7" ht="18">
      <c r="A46" s="226"/>
      <c r="B46" s="169" t="s">
        <v>144</v>
      </c>
      <c r="C46" s="170"/>
      <c r="D46" s="277"/>
      <c r="E46" s="172"/>
      <c r="F46" s="170"/>
      <c r="G46" s="195"/>
    </row>
    <row r="47" spans="1:7" ht="18">
      <c r="A47" s="226"/>
      <c r="B47" s="169"/>
      <c r="C47" s="170" t="s">
        <v>371</v>
      </c>
      <c r="D47" s="277" t="s">
        <v>381</v>
      </c>
      <c r="E47" s="172"/>
      <c r="F47" s="170"/>
      <c r="G47" s="195"/>
    </row>
    <row r="48" spans="1:7" ht="18">
      <c r="A48" s="226"/>
      <c r="B48" s="169">
        <v>0.21</v>
      </c>
      <c r="C48" s="170" t="s">
        <v>279</v>
      </c>
      <c r="D48" s="277" t="s">
        <v>355</v>
      </c>
      <c r="E48" s="172">
        <f>E30</f>
        <v>6040</v>
      </c>
      <c r="F48" s="170" t="s">
        <v>279</v>
      </c>
      <c r="G48" s="232">
        <f>(B48*E48)</f>
        <v>1268.3999999999999</v>
      </c>
    </row>
    <row r="49" spans="1:7" ht="18">
      <c r="A49" s="226"/>
      <c r="B49" s="169">
        <v>1</v>
      </c>
      <c r="C49" s="170" t="s">
        <v>348</v>
      </c>
      <c r="D49" s="277" t="s">
        <v>356</v>
      </c>
      <c r="E49" s="172">
        <f>E31</f>
        <v>1446.08</v>
      </c>
      <c r="F49" s="170" t="s">
        <v>348</v>
      </c>
      <c r="G49" s="232">
        <f>(B49*E49)</f>
        <v>1446.08</v>
      </c>
    </row>
    <row r="50" spans="1:7" ht="18">
      <c r="A50" s="226"/>
      <c r="B50" s="169">
        <v>1</v>
      </c>
      <c r="C50" s="170" t="s">
        <v>348</v>
      </c>
      <c r="D50" s="277" t="s">
        <v>379</v>
      </c>
      <c r="E50" s="172">
        <f>E32</f>
        <v>110</v>
      </c>
      <c r="F50" s="170" t="s">
        <v>348</v>
      </c>
      <c r="G50" s="232">
        <f>(B50*E50)</f>
        <v>110</v>
      </c>
    </row>
    <row r="51" spans="1:7" ht="18">
      <c r="A51" s="226"/>
      <c r="B51" s="169"/>
      <c r="C51" s="170"/>
      <c r="D51" s="272" t="s">
        <v>373</v>
      </c>
      <c r="E51" s="172"/>
      <c r="F51" s="170"/>
      <c r="G51" s="267">
        <f>SUM(G48:G50)</f>
        <v>2824.4799999999996</v>
      </c>
    </row>
    <row r="52" spans="1:7" ht="18">
      <c r="A52" s="226"/>
      <c r="B52" s="169"/>
      <c r="C52" s="170"/>
      <c r="D52" s="277"/>
      <c r="E52" s="172"/>
      <c r="F52" s="170"/>
      <c r="G52" s="232"/>
    </row>
    <row r="53" spans="1:7" ht="18">
      <c r="A53" s="226"/>
      <c r="B53" s="169"/>
      <c r="C53" s="170" t="s">
        <v>371</v>
      </c>
      <c r="D53" s="277" t="s">
        <v>380</v>
      </c>
      <c r="E53" s="172"/>
      <c r="F53" s="170"/>
      <c r="G53" s="195"/>
    </row>
    <row r="54" spans="1:7" ht="18">
      <c r="A54" s="226"/>
      <c r="B54" s="169">
        <v>0.18</v>
      </c>
      <c r="C54" s="170" t="s">
        <v>279</v>
      </c>
      <c r="D54" s="277" t="s">
        <v>355</v>
      </c>
      <c r="E54" s="172">
        <f>E30</f>
        <v>6040</v>
      </c>
      <c r="F54" s="170" t="s">
        <v>279</v>
      </c>
      <c r="G54" s="232">
        <f>(B54*E54)</f>
        <v>1087.2</v>
      </c>
    </row>
    <row r="55" spans="1:7" ht="18">
      <c r="A55" s="226"/>
      <c r="B55" s="169">
        <v>1</v>
      </c>
      <c r="C55" s="170" t="s">
        <v>348</v>
      </c>
      <c r="D55" s="277" t="s">
        <v>356</v>
      </c>
      <c r="E55" s="172">
        <f>E37</f>
        <v>1446.08</v>
      </c>
      <c r="F55" s="170" t="s">
        <v>348</v>
      </c>
      <c r="G55" s="232">
        <f>(B55*E55)</f>
        <v>1446.08</v>
      </c>
    </row>
    <row r="56" spans="1:7" ht="18">
      <c r="A56" s="226"/>
      <c r="B56" s="169">
        <v>1</v>
      </c>
      <c r="C56" s="170" t="s">
        <v>348</v>
      </c>
      <c r="D56" s="277" t="s">
        <v>379</v>
      </c>
      <c r="E56" s="172">
        <f>E38</f>
        <v>110</v>
      </c>
      <c r="F56" s="170" t="s">
        <v>348</v>
      </c>
      <c r="G56" s="232">
        <f>(B56*E56)</f>
        <v>110</v>
      </c>
    </row>
    <row r="57" spans="1:7" ht="18">
      <c r="A57" s="226"/>
      <c r="B57" s="169"/>
      <c r="C57" s="170"/>
      <c r="D57" s="272" t="s">
        <v>373</v>
      </c>
      <c r="E57" s="172"/>
      <c r="F57" s="170"/>
      <c r="G57" s="267">
        <f>SUM(G54:G56)</f>
        <v>2643.2799999999997</v>
      </c>
    </row>
    <row r="58" spans="1:7" ht="18">
      <c r="A58" s="226"/>
      <c r="B58" s="169"/>
      <c r="C58" s="170"/>
      <c r="D58" s="272"/>
      <c r="E58" s="170"/>
      <c r="F58" s="170"/>
      <c r="G58" s="267"/>
    </row>
    <row r="59" spans="1:7" ht="18">
      <c r="A59" s="226"/>
      <c r="B59" s="169"/>
      <c r="C59" s="170"/>
      <c r="D59" s="272" t="str">
        <f>'BOQ-C&amp;I'!C4</f>
        <v>Earthwork Excavation &amp; Backfilling</v>
      </c>
      <c r="E59" s="170"/>
      <c r="F59" s="170"/>
      <c r="G59" s="232"/>
    </row>
    <row r="60" spans="1:7" ht="180">
      <c r="A60" s="274">
        <v>1</v>
      </c>
      <c r="B60" s="169"/>
      <c r="C60" s="170" t="s">
        <v>144</v>
      </c>
      <c r="D60" s="351" t="str">
        <f>'BOQ-C&amp;I'!C5</f>
        <v>Earth work excavation / open excavation for foundation in all type of soils and sub soils to the required depth as directed including dense soil, disintegrated/weathered/soft rock not requiring blasting for Footings, Pile caps, Lift pits, etc... by mechanical means including manual excavation for levelling, dressing of sides and ramming of bottom with all leads and lifts, shoring, strutting and baling out water wherever necessary etc., as complete with all respects complying with relevant standard specification and as directed by the departmental officers.</v>
      </c>
      <c r="E60" s="170"/>
      <c r="F60" s="170"/>
      <c r="G60" s="195"/>
    </row>
    <row r="61" spans="1:7" ht="283.5" customHeight="1">
      <c r="A61" s="274"/>
      <c r="B61" s="169"/>
      <c r="C61" s="170"/>
      <c r="D61" s="351" t="str">
        <f>'BOQ-C&amp;I'!C6</f>
        <v>Rate to include backfilling, levelling, dressing of sides and ramming of bottom with all leads, lifts and filling  inside the building plinth level including necessary compaction in layers of 150mm thick each complete as directed and dressing to proper level and graded as required etc, loading, unloading, plant and machinery, hire and fuel charges for tools and plants, shoring, strutting required to keep the earth in position and baling out water, dewatering of all ground, surface and rain water, removal of slurry generated while excavation and keeping the area free from water, removal of loose pockets, slips and falls during excavation and compacting the same, Slinging or supporting pipes, electric cables, royalties, Seignorage and taking statutory approvals as necessary to carry out the work as complete with all respects complying with relevant standard specification, as directed by the departmental officers.</v>
      </c>
      <c r="E61" s="170"/>
      <c r="F61" s="170"/>
      <c r="G61" s="195"/>
    </row>
    <row r="62" spans="1:7" ht="270">
      <c r="A62" s="274"/>
      <c r="B62" s="169"/>
      <c r="C62" s="170"/>
      <c r="D62" s="351" t="str">
        <f>'BOQ-C&amp;I'!C7</f>
        <v xml:space="preserve">Note: Rate to include for extra earthwork including authorized working space as per IS 1200 and provision of slopes, space for scaffolding, shuttering, shoring, strutting etc., Additional excavation if required for execution shall not be paid separately.  The contractor shall keep the foundations dewatered and also arrange to drain them off by suitable drains and other means and keep the work place free from flooding / water logging and fit for carrying on the work unhindered. The contractor shall give a methodology of shoring, methodology of execution of excavation work and methodology for dewatering  for the approval of  departmental officers. (Only the PCC outer to outer dimension will be consider for the area of excavation and depth as per the actual ie depth till the bottom of M.Sand filling below the PCC as per drawing) </v>
      </c>
      <c r="E62" s="170"/>
      <c r="F62" s="170"/>
      <c r="G62" s="195"/>
    </row>
    <row r="63" spans="1:7" ht="18">
      <c r="A63" s="226" t="s">
        <v>772</v>
      </c>
      <c r="B63" s="169"/>
      <c r="C63" s="170"/>
      <c r="D63" s="304" t="s">
        <v>142</v>
      </c>
      <c r="E63" s="170"/>
      <c r="F63" s="170"/>
      <c r="G63" s="232"/>
    </row>
    <row r="64" spans="1:7" ht="36">
      <c r="A64" s="226"/>
      <c r="B64" s="169">
        <v>10</v>
      </c>
      <c r="C64" s="170" t="s">
        <v>348</v>
      </c>
      <c r="D64" s="277" t="s">
        <v>767</v>
      </c>
      <c r="E64" s="172">
        <f>Labour!E25</f>
        <v>106.25</v>
      </c>
      <c r="F64" s="170" t="s">
        <v>348</v>
      </c>
      <c r="G64" s="232">
        <f>(B64*E64)</f>
        <v>1062.5</v>
      </c>
    </row>
    <row r="65" spans="1:10" ht="18">
      <c r="A65" s="226"/>
      <c r="B65" s="169">
        <v>10</v>
      </c>
      <c r="C65" s="170" t="s">
        <v>348</v>
      </c>
      <c r="D65" s="277" t="s">
        <v>974</v>
      </c>
      <c r="E65" s="172">
        <f>E64</f>
        <v>106.25</v>
      </c>
      <c r="F65" s="170" t="s">
        <v>348</v>
      </c>
      <c r="G65" s="232">
        <f>(B65*E65)</f>
        <v>1062.5</v>
      </c>
    </row>
    <row r="66" spans="1:10" ht="18">
      <c r="A66" s="226"/>
      <c r="B66" s="169">
        <v>10</v>
      </c>
      <c r="C66" s="170" t="s">
        <v>348</v>
      </c>
      <c r="D66" s="277" t="s">
        <v>975</v>
      </c>
      <c r="E66" s="172">
        <f>(Labour!E24)/3</f>
        <v>12.316666666666668</v>
      </c>
      <c r="F66" s="170" t="s">
        <v>348</v>
      </c>
      <c r="G66" s="232">
        <f>(B66*E66)</f>
        <v>123.16666666666669</v>
      </c>
    </row>
    <row r="67" spans="1:10" ht="18">
      <c r="A67" s="226"/>
      <c r="B67" s="169"/>
      <c r="C67" s="170"/>
      <c r="D67" s="277"/>
      <c r="E67" s="172"/>
      <c r="F67" s="170"/>
      <c r="G67" s="232"/>
    </row>
    <row r="68" spans="1:10" ht="18">
      <c r="A68" s="226"/>
      <c r="B68" s="169"/>
      <c r="C68" s="170"/>
      <c r="D68" s="277" t="s">
        <v>363</v>
      </c>
      <c r="E68" s="172"/>
      <c r="F68" s="170"/>
      <c r="G68" s="232">
        <f>SUM(G64:G67)</f>
        <v>2248.1666666666665</v>
      </c>
    </row>
    <row r="69" spans="1:10" ht="18">
      <c r="A69" s="226"/>
      <c r="B69" s="169"/>
      <c r="C69" s="170"/>
      <c r="D69" s="272" t="s">
        <v>373</v>
      </c>
      <c r="E69" s="172"/>
      <c r="F69" s="170"/>
      <c r="G69" s="267">
        <f>G68/10</f>
        <v>224.81666666666666</v>
      </c>
    </row>
    <row r="70" spans="1:10" ht="18">
      <c r="A70" s="226"/>
      <c r="B70" s="169"/>
      <c r="C70" s="170"/>
      <c r="D70" s="277" t="s">
        <v>154</v>
      </c>
      <c r="E70" s="172"/>
      <c r="F70" s="170"/>
      <c r="G70" s="279"/>
    </row>
    <row r="71" spans="1:10" ht="18">
      <c r="A71" s="226"/>
      <c r="B71" s="169"/>
      <c r="C71" s="170"/>
      <c r="D71" s="272" t="s">
        <v>373</v>
      </c>
      <c r="E71" s="172"/>
      <c r="F71" s="170"/>
      <c r="G71" s="267">
        <f>SUM(G69:G70)</f>
        <v>224.81666666666666</v>
      </c>
      <c r="I71" s="276"/>
    </row>
    <row r="72" spans="1:10" ht="18">
      <c r="A72" s="226"/>
      <c r="B72" s="169"/>
      <c r="C72" s="170"/>
      <c r="D72" s="272"/>
      <c r="E72" s="172"/>
      <c r="F72" s="170"/>
      <c r="G72" s="267"/>
      <c r="I72" s="276"/>
    </row>
    <row r="73" spans="1:10" ht="18">
      <c r="A73" s="274"/>
      <c r="B73" s="169"/>
      <c r="C73" s="170"/>
      <c r="D73" s="272" t="s">
        <v>1439</v>
      </c>
      <c r="E73" s="172"/>
      <c r="F73" s="170"/>
      <c r="G73" s="267"/>
      <c r="I73" s="276"/>
    </row>
    <row r="74" spans="1:10" ht="36">
      <c r="A74" s="274"/>
      <c r="B74" s="169">
        <v>10</v>
      </c>
      <c r="C74" s="170" t="s">
        <v>348</v>
      </c>
      <c r="D74" s="277" t="s">
        <v>1440</v>
      </c>
      <c r="E74" s="172">
        <f>Labour!E26</f>
        <v>105.9</v>
      </c>
      <c r="F74" s="170" t="s">
        <v>348</v>
      </c>
      <c r="G74" s="232">
        <f>(B74*E74)</f>
        <v>1059</v>
      </c>
      <c r="I74" s="278"/>
      <c r="J74" s="278"/>
    </row>
    <row r="75" spans="1:10" ht="18">
      <c r="A75" s="274"/>
      <c r="B75" s="169">
        <v>10</v>
      </c>
      <c r="C75" s="170" t="s">
        <v>348</v>
      </c>
      <c r="D75" s="277" t="s">
        <v>975</v>
      </c>
      <c r="E75" s="172">
        <f>Labour!E24/3</f>
        <v>12.316666666666668</v>
      </c>
      <c r="F75" s="170" t="s">
        <v>348</v>
      </c>
      <c r="G75" s="232">
        <f>(B75*E75)</f>
        <v>123.16666666666669</v>
      </c>
      <c r="I75" s="278"/>
      <c r="J75" s="278"/>
    </row>
    <row r="76" spans="1:10" ht="18">
      <c r="A76" s="274"/>
      <c r="B76" s="169"/>
      <c r="C76" s="170"/>
      <c r="D76" s="277"/>
      <c r="E76" s="172"/>
      <c r="F76" s="170"/>
      <c r="G76" s="232"/>
    </row>
    <row r="77" spans="1:10" ht="18">
      <c r="A77" s="274"/>
      <c r="B77" s="169"/>
      <c r="C77" s="170"/>
      <c r="D77" s="277" t="s">
        <v>363</v>
      </c>
      <c r="E77" s="172"/>
      <c r="F77" s="170"/>
      <c r="G77" s="232">
        <f>SUM(G74:G76)</f>
        <v>1182.1666666666667</v>
      </c>
    </row>
    <row r="78" spans="1:10" ht="18">
      <c r="A78" s="274"/>
      <c r="B78" s="169"/>
      <c r="C78" s="170"/>
      <c r="D78" s="272" t="s">
        <v>373</v>
      </c>
      <c r="E78" s="172"/>
      <c r="F78" s="170"/>
      <c r="G78" s="267">
        <f>G77/10</f>
        <v>118.21666666666667</v>
      </c>
    </row>
    <row r="79" spans="1:10" ht="18">
      <c r="A79" s="274"/>
      <c r="B79" s="169"/>
      <c r="C79" s="170"/>
      <c r="D79" s="277" t="s">
        <v>154</v>
      </c>
      <c r="E79" s="172"/>
      <c r="F79" s="170"/>
      <c r="G79" s="279"/>
    </row>
    <row r="80" spans="1:10" ht="18">
      <c r="A80" s="274"/>
      <c r="B80" s="169"/>
      <c r="C80" s="170"/>
      <c r="D80" s="272" t="s">
        <v>373</v>
      </c>
      <c r="E80" s="172"/>
      <c r="F80" s="170"/>
      <c r="G80" s="267">
        <f>SUM(G78:G79)</f>
        <v>118.21666666666667</v>
      </c>
      <c r="I80" s="276"/>
    </row>
    <row r="81" spans="1:7" ht="18">
      <c r="A81" s="226"/>
      <c r="B81" s="169"/>
      <c r="C81" s="170"/>
      <c r="D81" s="277"/>
      <c r="E81" s="172"/>
      <c r="F81" s="170"/>
      <c r="G81" s="232"/>
    </row>
    <row r="82" spans="1:7" ht="18">
      <c r="A82" s="226" t="s">
        <v>922</v>
      </c>
      <c r="B82" s="169"/>
      <c r="C82" s="170"/>
      <c r="D82" s="352" t="s">
        <v>378</v>
      </c>
      <c r="E82" s="172"/>
      <c r="F82" s="170"/>
      <c r="G82" s="232"/>
    </row>
    <row r="83" spans="1:7" ht="18">
      <c r="A83" s="226"/>
      <c r="B83" s="169">
        <v>1</v>
      </c>
      <c r="C83" s="170" t="s">
        <v>348</v>
      </c>
      <c r="D83" s="277" t="s">
        <v>377</v>
      </c>
      <c r="E83" s="172">
        <f>G71</f>
        <v>224.81666666666666</v>
      </c>
      <c r="F83" s="170" t="s">
        <v>348</v>
      </c>
      <c r="G83" s="232">
        <f>B83*E83</f>
        <v>224.81666666666666</v>
      </c>
    </row>
    <row r="84" spans="1:7" ht="18">
      <c r="A84" s="226"/>
      <c r="B84" s="169">
        <v>1</v>
      </c>
      <c r="C84" s="170" t="s">
        <v>348</v>
      </c>
      <c r="D84" s="277" t="s">
        <v>766</v>
      </c>
      <c r="E84" s="172">
        <f>Labour!E27</f>
        <v>10.199999999999999</v>
      </c>
      <c r="F84" s="170" t="s">
        <v>348</v>
      </c>
      <c r="G84" s="232">
        <f>B84*E84</f>
        <v>10.199999999999999</v>
      </c>
    </row>
    <row r="85" spans="1:7" ht="18">
      <c r="A85" s="226"/>
      <c r="B85" s="169"/>
      <c r="C85" s="170"/>
      <c r="D85" s="272" t="s">
        <v>373</v>
      </c>
      <c r="E85" s="170"/>
      <c r="F85" s="170"/>
      <c r="G85" s="267">
        <f>SUM(G83:G84)</f>
        <v>235.01666666666665</v>
      </c>
    </row>
    <row r="86" spans="1:7" ht="18">
      <c r="A86" s="226"/>
      <c r="B86" s="169"/>
      <c r="C86" s="170"/>
      <c r="D86" s="277" t="s">
        <v>154</v>
      </c>
      <c r="E86" s="170"/>
      <c r="F86" s="170"/>
      <c r="G86" s="232"/>
    </row>
    <row r="87" spans="1:7" ht="18">
      <c r="A87" s="226"/>
      <c r="B87" s="169"/>
      <c r="C87" s="170"/>
      <c r="D87" s="272" t="s">
        <v>373</v>
      </c>
      <c r="E87" s="170"/>
      <c r="F87" s="170"/>
      <c r="G87" s="267">
        <f>SUM(G85:G86)</f>
        <v>235.01666666666665</v>
      </c>
    </row>
    <row r="88" spans="1:7" ht="18">
      <c r="A88" s="226"/>
      <c r="B88" s="169"/>
      <c r="C88" s="170"/>
      <c r="D88" s="272"/>
      <c r="E88" s="170"/>
      <c r="F88" s="170"/>
      <c r="G88" s="267"/>
    </row>
    <row r="89" spans="1:7" ht="18">
      <c r="A89" s="274"/>
      <c r="B89" s="169"/>
      <c r="C89" s="170"/>
      <c r="D89" s="272" t="s">
        <v>1439</v>
      </c>
      <c r="E89" s="170"/>
      <c r="F89" s="170"/>
      <c r="G89" s="267"/>
    </row>
    <row r="90" spans="1:7" ht="18">
      <c r="A90" s="226"/>
      <c r="B90" s="169">
        <v>1</v>
      </c>
      <c r="C90" s="170" t="s">
        <v>348</v>
      </c>
      <c r="D90" s="277" t="s">
        <v>377</v>
      </c>
      <c r="E90" s="172">
        <f>G80</f>
        <v>118.21666666666667</v>
      </c>
      <c r="F90" s="170" t="s">
        <v>348</v>
      </c>
      <c r="G90" s="232">
        <f>B90*E90</f>
        <v>118.21666666666667</v>
      </c>
    </row>
    <row r="91" spans="1:7" ht="18">
      <c r="A91" s="226"/>
      <c r="B91" s="169">
        <v>1</v>
      </c>
      <c r="C91" s="170" t="s">
        <v>348</v>
      </c>
      <c r="D91" s="277" t="s">
        <v>766</v>
      </c>
      <c r="E91" s="172">
        <f>Labour!E27</f>
        <v>10.199999999999999</v>
      </c>
      <c r="F91" s="170" t="s">
        <v>348</v>
      </c>
      <c r="G91" s="232">
        <f>B91*E91</f>
        <v>10.199999999999999</v>
      </c>
    </row>
    <row r="92" spans="1:7" ht="18">
      <c r="A92" s="226"/>
      <c r="B92" s="169"/>
      <c r="C92" s="170"/>
      <c r="D92" s="272" t="s">
        <v>373</v>
      </c>
      <c r="E92" s="170"/>
      <c r="F92" s="170"/>
      <c r="G92" s="267">
        <f>SUM(G90:G91)</f>
        <v>128.41666666666666</v>
      </c>
    </row>
    <row r="93" spans="1:7" ht="18">
      <c r="A93" s="226"/>
      <c r="B93" s="169"/>
      <c r="C93" s="170"/>
      <c r="D93" s="277" t="s">
        <v>154</v>
      </c>
      <c r="E93" s="170"/>
      <c r="F93" s="170"/>
      <c r="G93" s="232"/>
    </row>
    <row r="94" spans="1:7" ht="18">
      <c r="A94" s="226"/>
      <c r="B94" s="169"/>
      <c r="C94" s="170"/>
      <c r="D94" s="272" t="s">
        <v>373</v>
      </c>
      <c r="E94" s="170"/>
      <c r="F94" s="170"/>
      <c r="G94" s="267">
        <f>SUM(G92:G93)</f>
        <v>128.41666666666666</v>
      </c>
    </row>
    <row r="95" spans="1:7" ht="18">
      <c r="A95" s="226"/>
      <c r="B95" s="169"/>
      <c r="C95" s="170"/>
      <c r="D95" s="272"/>
      <c r="E95" s="170"/>
      <c r="F95" s="170"/>
      <c r="G95" s="267"/>
    </row>
    <row r="96" spans="1:7" ht="18">
      <c r="A96" s="226" t="s">
        <v>924</v>
      </c>
      <c r="B96" s="169"/>
      <c r="C96" s="170"/>
      <c r="D96" s="352" t="s">
        <v>1441</v>
      </c>
      <c r="E96" s="170"/>
      <c r="F96" s="170"/>
      <c r="G96" s="267"/>
    </row>
    <row r="97" spans="1:7" ht="18">
      <c r="A97" s="274"/>
      <c r="B97" s="169"/>
      <c r="C97" s="170"/>
      <c r="D97" s="272" t="s">
        <v>1439</v>
      </c>
      <c r="E97" s="170"/>
      <c r="F97" s="170"/>
      <c r="G97" s="267"/>
    </row>
    <row r="98" spans="1:7" ht="18">
      <c r="A98" s="226"/>
      <c r="B98" s="169">
        <v>1</v>
      </c>
      <c r="C98" s="170" t="s">
        <v>348</v>
      </c>
      <c r="D98" s="277" t="s">
        <v>1442</v>
      </c>
      <c r="E98" s="172">
        <f>G94</f>
        <v>128.41666666666666</v>
      </c>
      <c r="F98" s="170" t="s">
        <v>348</v>
      </c>
      <c r="G98" s="232">
        <f>B98*E98</f>
        <v>128.41666666666666</v>
      </c>
    </row>
    <row r="99" spans="1:7" ht="18">
      <c r="A99" s="226"/>
      <c r="B99" s="169">
        <v>1</v>
      </c>
      <c r="C99" s="170" t="s">
        <v>348</v>
      </c>
      <c r="D99" s="277" t="s">
        <v>766</v>
      </c>
      <c r="E99" s="172">
        <f>Labour!E27</f>
        <v>10.199999999999999</v>
      </c>
      <c r="F99" s="170" t="s">
        <v>348</v>
      </c>
      <c r="G99" s="232">
        <f>B99*E99</f>
        <v>10.199999999999999</v>
      </c>
    </row>
    <row r="100" spans="1:7" ht="18">
      <c r="A100" s="226"/>
      <c r="B100" s="169"/>
      <c r="C100" s="170"/>
      <c r="D100" s="272" t="s">
        <v>373</v>
      </c>
      <c r="E100" s="170"/>
      <c r="F100" s="170"/>
      <c r="G100" s="267">
        <f>SUM(G98:G99)</f>
        <v>138.61666666666665</v>
      </c>
    </row>
    <row r="101" spans="1:7" ht="18">
      <c r="A101" s="226"/>
      <c r="B101" s="169"/>
      <c r="C101" s="170"/>
      <c r="D101" s="277" t="s">
        <v>154</v>
      </c>
      <c r="E101" s="170"/>
      <c r="F101" s="170"/>
      <c r="G101" s="232"/>
    </row>
    <row r="102" spans="1:7" ht="18">
      <c r="A102" s="226"/>
      <c r="B102" s="169"/>
      <c r="C102" s="170"/>
      <c r="D102" s="272" t="s">
        <v>373</v>
      </c>
      <c r="E102" s="170"/>
      <c r="F102" s="170"/>
      <c r="G102" s="267">
        <f>SUM(G100:G101)</f>
        <v>138.61666666666665</v>
      </c>
    </row>
    <row r="103" spans="1:7" ht="18">
      <c r="A103" s="226"/>
      <c r="B103" s="169"/>
      <c r="C103" s="170"/>
      <c r="D103" s="352"/>
      <c r="E103" s="170"/>
      <c r="F103" s="170"/>
      <c r="G103" s="267"/>
    </row>
    <row r="104" spans="1:7" ht="18">
      <c r="A104" s="226" t="s">
        <v>929</v>
      </c>
      <c r="B104" s="169"/>
      <c r="C104" s="170"/>
      <c r="D104" s="352" t="s">
        <v>1463</v>
      </c>
      <c r="E104" s="170"/>
      <c r="F104" s="170"/>
      <c r="G104" s="267"/>
    </row>
    <row r="105" spans="1:7" ht="18">
      <c r="A105" s="274"/>
      <c r="B105" s="169"/>
      <c r="C105" s="170"/>
      <c r="D105" s="272" t="s">
        <v>1439</v>
      </c>
      <c r="E105" s="170"/>
      <c r="F105" s="170"/>
      <c r="G105" s="267"/>
    </row>
    <row r="106" spans="1:7" ht="18">
      <c r="A106" s="226"/>
      <c r="B106" s="169">
        <v>1</v>
      </c>
      <c r="C106" s="170" t="s">
        <v>348</v>
      </c>
      <c r="D106" s="277" t="s">
        <v>1443</v>
      </c>
      <c r="E106" s="172">
        <f>G102</f>
        <v>138.61666666666665</v>
      </c>
      <c r="F106" s="170" t="s">
        <v>348</v>
      </c>
      <c r="G106" s="232">
        <f>B106*E106</f>
        <v>138.61666666666665</v>
      </c>
    </row>
    <row r="107" spans="1:7" ht="18">
      <c r="A107" s="226"/>
      <c r="B107" s="169">
        <v>1</v>
      </c>
      <c r="C107" s="170" t="s">
        <v>348</v>
      </c>
      <c r="D107" s="277" t="s">
        <v>766</v>
      </c>
      <c r="E107" s="172">
        <f>Labour!E27</f>
        <v>10.199999999999999</v>
      </c>
      <c r="F107" s="170" t="s">
        <v>348</v>
      </c>
      <c r="G107" s="232">
        <f>B107*E107</f>
        <v>10.199999999999999</v>
      </c>
    </row>
    <row r="108" spans="1:7" ht="18">
      <c r="A108" s="226"/>
      <c r="B108" s="169"/>
      <c r="C108" s="170"/>
      <c r="D108" s="272" t="s">
        <v>373</v>
      </c>
      <c r="E108" s="170"/>
      <c r="F108" s="170"/>
      <c r="G108" s="267">
        <f>SUM(G106:G107)</f>
        <v>148.81666666666663</v>
      </c>
    </row>
    <row r="109" spans="1:7" ht="18">
      <c r="A109" s="226"/>
      <c r="B109" s="169"/>
      <c r="C109" s="170"/>
      <c r="D109" s="277" t="s">
        <v>154</v>
      </c>
      <c r="E109" s="170"/>
      <c r="F109" s="170"/>
      <c r="G109" s="232"/>
    </row>
    <row r="110" spans="1:7" ht="18">
      <c r="A110" s="226"/>
      <c r="B110" s="169"/>
      <c r="C110" s="170"/>
      <c r="D110" s="272" t="s">
        <v>373</v>
      </c>
      <c r="E110" s="170"/>
      <c r="F110" s="170"/>
      <c r="G110" s="267">
        <f>SUM(G108:G109)</f>
        <v>148.81666666666663</v>
      </c>
    </row>
    <row r="111" spans="1:7" ht="18">
      <c r="A111" s="226"/>
      <c r="B111" s="169"/>
      <c r="C111" s="170"/>
      <c r="D111" s="352"/>
      <c r="E111" s="170"/>
      <c r="F111" s="170"/>
      <c r="G111" s="267"/>
    </row>
    <row r="112" spans="1:7" ht="306">
      <c r="A112" s="274">
        <f>+A60+1</f>
        <v>2</v>
      </c>
      <c r="B112" s="169"/>
      <c r="C112" s="170"/>
      <c r="D112" s="351" t="str">
        <f>'BOQ-C&amp;I'!C18</f>
        <v>Supplying and filling in foundations and the area wherever specified with 'approved material' good quality filling materials in plinths, area development etc. wherever specified in layers of not exceeding 150 mm thick including clearing of jungle, bushes, breaking clods, storing, transportation, double handling, watering, compacting each layer with vibratory compactor and at un-accessible places with wooden/steel rammers to achieve 95% proctor density at optimum moisture content, all leads and lifts, bailing/ pumping out of water to keep site dry while backfilling complete as directed.Rate to include materials, loading, unloading, transportation, plant and machinery, hire and fuel charges for tools and plants and other incidental charges, royalties, seignorage and taking statutory approvals as necessary to carry out the work as complete with all respects complying with relevant standard specification, as directed by the   departmental officers.</v>
      </c>
      <c r="E112" s="170"/>
      <c r="F112" s="170"/>
      <c r="G112" s="195"/>
    </row>
    <row r="113" spans="1:7" ht="18">
      <c r="A113" s="226" t="s">
        <v>71</v>
      </c>
      <c r="B113" s="169"/>
      <c r="C113" s="170"/>
      <c r="D113" s="353" t="str">
        <f>'BOQ-C&amp;I'!C19</f>
        <v>Filling M.Sand</v>
      </c>
      <c r="E113" s="170"/>
      <c r="F113" s="170"/>
      <c r="G113" s="195"/>
    </row>
    <row r="114" spans="1:7" ht="18">
      <c r="A114" s="226"/>
      <c r="B114" s="169">
        <v>1</v>
      </c>
      <c r="C114" s="170" t="s">
        <v>348</v>
      </c>
      <c r="D114" s="277" t="s">
        <v>376</v>
      </c>
      <c r="E114" s="172">
        <f>'Lead Statement'!I4</f>
        <v>1446.08</v>
      </c>
      <c r="F114" s="170" t="s">
        <v>348</v>
      </c>
      <c r="G114" s="232">
        <f>(B114*E114)</f>
        <v>1446.08</v>
      </c>
    </row>
    <row r="115" spans="1:7" ht="18">
      <c r="A115" s="226"/>
      <c r="B115" s="169">
        <v>1</v>
      </c>
      <c r="C115" s="170" t="s">
        <v>348</v>
      </c>
      <c r="D115" s="277" t="s">
        <v>375</v>
      </c>
      <c r="E115" s="172">
        <f>Labour!E23</f>
        <v>32.450000000000003</v>
      </c>
      <c r="F115" s="170" t="s">
        <v>348</v>
      </c>
      <c r="G115" s="232">
        <f>(B115*E115)</f>
        <v>32.450000000000003</v>
      </c>
    </row>
    <row r="116" spans="1:7" ht="18">
      <c r="A116" s="226"/>
      <c r="B116" s="169"/>
      <c r="C116" s="170"/>
      <c r="D116" s="277" t="s">
        <v>374</v>
      </c>
      <c r="E116" s="172"/>
      <c r="F116" s="170"/>
      <c r="G116" s="267">
        <f>SUM(G113:G115)</f>
        <v>1478.53</v>
      </c>
    </row>
    <row r="117" spans="1:7" ht="18">
      <c r="A117" s="226"/>
      <c r="B117" s="169"/>
      <c r="C117" s="170"/>
      <c r="D117" s="277" t="s">
        <v>154</v>
      </c>
      <c r="E117" s="172"/>
      <c r="F117" s="170"/>
      <c r="G117" s="232"/>
    </row>
    <row r="118" spans="1:7" ht="18">
      <c r="A118" s="226"/>
      <c r="B118" s="169"/>
      <c r="C118" s="170"/>
      <c r="D118" s="272" t="s">
        <v>373</v>
      </c>
      <c r="E118" s="172"/>
      <c r="F118" s="170"/>
      <c r="G118" s="267">
        <f>SUM(G116:G117)</f>
        <v>1478.53</v>
      </c>
    </row>
    <row r="119" spans="1:7" ht="18">
      <c r="A119" s="226"/>
      <c r="B119" s="169"/>
      <c r="C119" s="170"/>
      <c r="D119" s="277"/>
      <c r="E119" s="172"/>
      <c r="F119" s="170"/>
      <c r="G119" s="232"/>
    </row>
    <row r="120" spans="1:7" ht="18">
      <c r="A120" s="226" t="s">
        <v>70</v>
      </c>
      <c r="B120" s="169"/>
      <c r="C120" s="170"/>
      <c r="D120" s="272" t="str">
        <f>'BOQ-C&amp;I'!C20</f>
        <v>Good Earth brought from outside</v>
      </c>
      <c r="E120" s="172"/>
      <c r="F120" s="170"/>
      <c r="G120" s="232"/>
    </row>
    <row r="121" spans="1:7" ht="18">
      <c r="A121" s="226"/>
      <c r="B121" s="169">
        <v>1</v>
      </c>
      <c r="C121" s="170" t="s">
        <v>348</v>
      </c>
      <c r="D121" s="277" t="s">
        <v>992</v>
      </c>
      <c r="E121" s="172">
        <f>'Lead Statement'!I15</f>
        <v>245.6</v>
      </c>
      <c r="F121" s="170" t="s">
        <v>348</v>
      </c>
      <c r="G121" s="232">
        <f>(B121*E121)</f>
        <v>245.6</v>
      </c>
    </row>
    <row r="122" spans="1:7" ht="18">
      <c r="A122" s="226"/>
      <c r="B122" s="169">
        <v>1</v>
      </c>
      <c r="C122" s="170" t="s">
        <v>348</v>
      </c>
      <c r="D122" s="277" t="s">
        <v>375</v>
      </c>
      <c r="E122" s="172">
        <f>Labour!E24</f>
        <v>36.950000000000003</v>
      </c>
      <c r="F122" s="170" t="s">
        <v>348</v>
      </c>
      <c r="G122" s="232">
        <f>(B122*E122)</f>
        <v>36.950000000000003</v>
      </c>
    </row>
    <row r="123" spans="1:7" ht="18">
      <c r="A123" s="226"/>
      <c r="B123" s="169"/>
      <c r="C123" s="170"/>
      <c r="D123" s="277" t="s">
        <v>374</v>
      </c>
      <c r="E123" s="170"/>
      <c r="F123" s="170"/>
      <c r="G123" s="267">
        <f>SUM(G121:G122)</f>
        <v>282.55</v>
      </c>
    </row>
    <row r="124" spans="1:7" ht="18">
      <c r="A124" s="226"/>
      <c r="B124" s="169"/>
      <c r="C124" s="170"/>
      <c r="D124" s="277" t="s">
        <v>154</v>
      </c>
      <c r="E124" s="170"/>
      <c r="F124" s="170"/>
      <c r="G124" s="232"/>
    </row>
    <row r="125" spans="1:7" ht="18">
      <c r="A125" s="226"/>
      <c r="B125" s="169"/>
      <c r="C125" s="170"/>
      <c r="D125" s="272" t="s">
        <v>373</v>
      </c>
      <c r="E125" s="170"/>
      <c r="F125" s="170"/>
      <c r="G125" s="267">
        <f>SUM(G123:G124)</f>
        <v>282.55</v>
      </c>
    </row>
    <row r="126" spans="1:7" ht="18">
      <c r="A126" s="226"/>
      <c r="B126" s="169"/>
      <c r="C126" s="170"/>
      <c r="D126" s="277"/>
      <c r="E126" s="170"/>
      <c r="F126" s="170"/>
      <c r="G126" s="232"/>
    </row>
    <row r="127" spans="1:7" ht="234">
      <c r="A127" s="274">
        <f>A112+1</f>
        <v>3</v>
      </c>
      <c r="B127" s="170"/>
      <c r="C127" s="170"/>
      <c r="D127" s="273" t="str">
        <f>'BOQ-C&amp;I'!C21</f>
        <v>Carting away the surplus earth excavated from the basement foundations / footings in the campus, is to be carted away to the desired lead of 20 kms from the site . The rate shall include loading into the tipper/ lorry, transporting and unloading etc., complete with all respects complying with relevant standard specification, as directed by the   departmental officers. Rate to include materials, loading, unloading, transportation, plant and machinery, hire and fuel charges for tools and plants and other incidental charges, royalties, seignorage and taking statutory approvals as necessary to carry out the work as complete with all respects complying with relevant standard specification, as directed by the departmental officers.</v>
      </c>
      <c r="E127" s="170"/>
      <c r="F127" s="170"/>
      <c r="G127" s="195"/>
    </row>
    <row r="128" spans="1:7" ht="18">
      <c r="A128" s="226"/>
      <c r="B128" s="170">
        <v>10</v>
      </c>
      <c r="C128" s="170" t="s">
        <v>348</v>
      </c>
      <c r="D128" s="277" t="s">
        <v>1001</v>
      </c>
      <c r="E128" s="172">
        <f>'Lead Statement'!O4</f>
        <v>11.45</v>
      </c>
      <c r="F128" s="170" t="s">
        <v>348</v>
      </c>
      <c r="G128" s="232">
        <f>(B128*E128)</f>
        <v>114.5</v>
      </c>
    </row>
    <row r="129" spans="1:7" ht="18">
      <c r="A129" s="226"/>
      <c r="B129" s="170">
        <v>10</v>
      </c>
      <c r="C129" s="170" t="s">
        <v>348</v>
      </c>
      <c r="D129" s="277" t="s">
        <v>1000</v>
      </c>
      <c r="E129" s="172">
        <f>'Lead Statement'!O5</f>
        <v>9.7899999999999991</v>
      </c>
      <c r="F129" s="170" t="s">
        <v>348</v>
      </c>
      <c r="G129" s="232">
        <f>(B129*E129)</f>
        <v>97.899999999999991</v>
      </c>
    </row>
    <row r="130" spans="1:7" ht="18">
      <c r="A130" s="226"/>
      <c r="B130" s="170">
        <v>1</v>
      </c>
      <c r="C130" s="170" t="s">
        <v>348</v>
      </c>
      <c r="D130" s="277" t="s">
        <v>976</v>
      </c>
      <c r="E130" s="172">
        <v>44.25</v>
      </c>
      <c r="F130" s="170" t="s">
        <v>348</v>
      </c>
      <c r="G130" s="232">
        <f>(B130*E130)</f>
        <v>44.25</v>
      </c>
    </row>
    <row r="131" spans="1:7" ht="18">
      <c r="A131" s="226"/>
      <c r="B131" s="170"/>
      <c r="C131" s="170"/>
      <c r="D131" s="272" t="s">
        <v>374</v>
      </c>
      <c r="E131" s="170"/>
      <c r="F131" s="170"/>
      <c r="G131" s="267">
        <f>SUM(G128:G130)</f>
        <v>256.64999999999998</v>
      </c>
    </row>
    <row r="132" spans="1:7" ht="18">
      <c r="A132" s="226"/>
      <c r="B132" s="170"/>
      <c r="C132" s="170"/>
      <c r="D132" s="277" t="s">
        <v>154</v>
      </c>
      <c r="E132" s="170"/>
      <c r="F132" s="170"/>
      <c r="G132" s="232"/>
    </row>
    <row r="133" spans="1:7" ht="18">
      <c r="A133" s="226"/>
      <c r="B133" s="170"/>
      <c r="C133" s="170"/>
      <c r="D133" s="272" t="s">
        <v>373</v>
      </c>
      <c r="E133" s="170"/>
      <c r="F133" s="170"/>
      <c r="G133" s="267">
        <f>SUM(G131:G132)</f>
        <v>256.64999999999998</v>
      </c>
    </row>
    <row r="134" spans="1:7" ht="18">
      <c r="A134" s="226"/>
      <c r="B134" s="170"/>
      <c r="C134" s="170"/>
      <c r="D134" s="272"/>
      <c r="E134" s="170"/>
      <c r="F134" s="170"/>
      <c r="G134" s="267"/>
    </row>
    <row r="135" spans="1:7" ht="18">
      <c r="A135" s="226"/>
      <c r="B135" s="169"/>
      <c r="C135" s="170"/>
      <c r="D135" s="272" t="s">
        <v>139</v>
      </c>
      <c r="E135" s="170"/>
      <c r="F135" s="170"/>
      <c r="G135" s="232"/>
    </row>
    <row r="136" spans="1:7" ht="252">
      <c r="A136" s="274">
        <f>A127+1</f>
        <v>4</v>
      </c>
      <c r="B136" s="169"/>
      <c r="C136" s="170"/>
      <c r="D136" s="273" t="str">
        <f>'BOQ-C&amp;I'!C24</f>
        <v xml:space="preserve">Providing Pre - construction Anti - termite treatment and creating a chemical barrier to the building by injecting chemical emulsion of required concentration under grade slab and grade beam and below the ground level as well as outside all-round the building at plinth level etc as per the instructions of manufacturer and as directed by the departmental officers.  The treatment shall be carried out strictly in accordance with the technical specification and conforming to IS 6313 or equivalent BS specification.  The chemical to be used as insecticide for the treatment shall be Biflex Tc and the application shall be diluted 1 part of chemical Biflex Tc with 49 parts of water to get 0.05% emulsion and strictly in accordance with the manufacturer’s specification. </v>
      </c>
      <c r="E136" s="170"/>
      <c r="F136" s="170"/>
      <c r="G136" s="195"/>
    </row>
    <row r="137" spans="1:7" ht="126">
      <c r="A137" s="226"/>
      <c r="B137" s="169"/>
      <c r="C137" s="170"/>
      <c r="D137" s="273" t="str">
        <f>'BOQ-C&amp;I'!C25</f>
        <v>The work should be carried out by an approved and registered specialist pest control agency only. Tenderer to furnish the name of the proposed specialist firm. A 10 years post application guarantee against defects shall be furnished by the main Contractor. Note : Horizontal plan area at ground floor level of the building will be measured and paid.</v>
      </c>
      <c r="E137" s="170"/>
      <c r="F137" s="170"/>
      <c r="G137" s="195"/>
    </row>
    <row r="138" spans="1:7" ht="90">
      <c r="A138" s="226"/>
      <c r="B138" s="169"/>
      <c r="C138" s="170"/>
      <c r="D138" s="273" t="str">
        <f>'BOQ-C&amp;I'!C26</f>
        <v>The chemical to be used for the treatment and concentration of the chemical solutions should be as laid down in IS - 6313 Part II.as complete with all respects complying with relevant standard specification, as directed by the departmental officers.</v>
      </c>
      <c r="E138" s="170"/>
      <c r="F138" s="170"/>
      <c r="G138" s="195"/>
    </row>
    <row r="139" spans="1:7" ht="18">
      <c r="A139" s="226"/>
      <c r="B139" s="169">
        <v>1</v>
      </c>
      <c r="C139" s="170" t="s">
        <v>177</v>
      </c>
      <c r="D139" s="273" t="s">
        <v>1876</v>
      </c>
      <c r="E139" s="172">
        <f>'Comparison - Annexure 04'!K8</f>
        <v>85</v>
      </c>
      <c r="F139" s="170" t="s">
        <v>177</v>
      </c>
      <c r="G139" s="171">
        <f>B139*E139</f>
        <v>85</v>
      </c>
    </row>
    <row r="140" spans="1:7" ht="18">
      <c r="A140" s="226"/>
      <c r="B140" s="169"/>
      <c r="C140" s="170"/>
      <c r="D140" s="272"/>
      <c r="E140" s="170"/>
      <c r="F140" s="170"/>
      <c r="G140" s="171"/>
    </row>
    <row r="141" spans="1:7" ht="18">
      <c r="A141" s="226"/>
      <c r="B141" s="169"/>
      <c r="C141" s="170"/>
      <c r="D141" s="272" t="s">
        <v>372</v>
      </c>
      <c r="E141" s="170"/>
      <c r="F141" s="170"/>
      <c r="G141" s="195"/>
    </row>
    <row r="142" spans="1:7" ht="180">
      <c r="A142" s="168">
        <f>A136+1</f>
        <v>5</v>
      </c>
      <c r="B142" s="169"/>
      <c r="C142" s="170" t="s">
        <v>371</v>
      </c>
      <c r="D142" s="351" t="str">
        <f>'BOQ-C&amp;I'!C29</f>
        <v>Providing and laying Plain Cement Concrete 1:4:8 (1 of cement : 4 of M.Sand : 8 of hard broken stone jelly) using coarse graded aggregate of 40 mm for levelling course under footing, pile cap, steps, walls, raft, retaining wall, drains, kerb and median, platform etc. including all shuttering materials, labour charges, wastages , mixing, curing compaction, transportation,  necessary lead and lifts etc. as complete with all respects complying with relevant standard specification as per IS 456-2000 and as directed by the   departmental officers.</v>
      </c>
      <c r="E142" s="170"/>
      <c r="F142" s="170"/>
      <c r="G142" s="195"/>
    </row>
    <row r="143" spans="1:7" ht="18">
      <c r="A143" s="226"/>
      <c r="B143" s="169"/>
      <c r="C143" s="170"/>
      <c r="D143" s="277" t="s">
        <v>1615</v>
      </c>
      <c r="E143" s="170"/>
      <c r="F143" s="170"/>
      <c r="G143" s="195"/>
    </row>
    <row r="144" spans="1:7" ht="18">
      <c r="A144" s="226"/>
      <c r="B144" s="169">
        <v>9</v>
      </c>
      <c r="C144" s="170" t="s">
        <v>348</v>
      </c>
      <c r="D144" s="277" t="s">
        <v>370</v>
      </c>
      <c r="E144" s="172">
        <f>'Lead Statement'!I10</f>
        <v>1188.08</v>
      </c>
      <c r="F144" s="170" t="s">
        <v>348</v>
      </c>
      <c r="G144" s="232">
        <f>(B144*E144)</f>
        <v>10692.72</v>
      </c>
    </row>
    <row r="145" spans="1:8" ht="18">
      <c r="A145" s="226"/>
      <c r="B145" s="169">
        <v>4.5</v>
      </c>
      <c r="C145" s="170" t="s">
        <v>348</v>
      </c>
      <c r="D145" s="277" t="s">
        <v>369</v>
      </c>
      <c r="E145" s="172">
        <f>G33</f>
        <v>3730.48</v>
      </c>
      <c r="F145" s="170" t="s">
        <v>348</v>
      </c>
      <c r="G145" s="232">
        <f>(B145*E145)</f>
        <v>16787.16</v>
      </c>
    </row>
    <row r="146" spans="1:8" ht="18">
      <c r="A146" s="226"/>
      <c r="B146" s="169">
        <v>1.8</v>
      </c>
      <c r="C146" s="170" t="s">
        <v>365</v>
      </c>
      <c r="D146" s="277" t="s">
        <v>368</v>
      </c>
      <c r="E146" s="172">
        <f>Labour!E5</f>
        <v>884</v>
      </c>
      <c r="F146" s="170" t="s">
        <v>365</v>
      </c>
      <c r="G146" s="232">
        <f>(B146*E146)</f>
        <v>1591.2</v>
      </c>
    </row>
    <row r="147" spans="1:8" ht="18">
      <c r="A147" s="226"/>
      <c r="B147" s="169">
        <v>17.7</v>
      </c>
      <c r="C147" s="170" t="s">
        <v>365</v>
      </c>
      <c r="D147" s="277" t="s">
        <v>367</v>
      </c>
      <c r="E147" s="172">
        <f>Labour!E6</f>
        <v>618</v>
      </c>
      <c r="F147" s="170" t="s">
        <v>365</v>
      </c>
      <c r="G147" s="232">
        <f>(B147*E147)</f>
        <v>10938.6</v>
      </c>
    </row>
    <row r="148" spans="1:8" ht="18">
      <c r="A148" s="226"/>
      <c r="B148" s="169">
        <v>14.1</v>
      </c>
      <c r="C148" s="170" t="s">
        <v>365</v>
      </c>
      <c r="D148" s="277" t="s">
        <v>366</v>
      </c>
      <c r="E148" s="172">
        <f>Labour!E7</f>
        <v>507</v>
      </c>
      <c r="F148" s="170" t="s">
        <v>365</v>
      </c>
      <c r="G148" s="232">
        <f>(B148*E148)</f>
        <v>7148.7</v>
      </c>
      <c r="H148" s="354"/>
    </row>
    <row r="149" spans="1:8" ht="18">
      <c r="A149" s="226"/>
      <c r="B149" s="169"/>
      <c r="C149" s="170"/>
      <c r="D149" s="277" t="s">
        <v>364</v>
      </c>
      <c r="E149" s="170"/>
      <c r="F149" s="170"/>
      <c r="G149" s="232">
        <v>0.42</v>
      </c>
      <c r="H149" s="354"/>
    </row>
    <row r="150" spans="1:8" ht="18">
      <c r="A150" s="226"/>
      <c r="B150" s="169"/>
      <c r="C150" s="170"/>
      <c r="D150" s="277" t="s">
        <v>363</v>
      </c>
      <c r="E150" s="170"/>
      <c r="F150" s="170"/>
      <c r="G150" s="232">
        <f>SUM(G144:G149)</f>
        <v>47158.799999999996</v>
      </c>
      <c r="H150" s="354"/>
    </row>
    <row r="151" spans="1:8" ht="18">
      <c r="A151" s="226"/>
      <c r="B151" s="169"/>
      <c r="C151" s="170"/>
      <c r="D151" s="272" t="s">
        <v>362</v>
      </c>
      <c r="E151" s="170"/>
      <c r="F151" s="170"/>
      <c r="G151" s="267">
        <f>ROUNDUP((G150/10),0)</f>
        <v>4716</v>
      </c>
    </row>
    <row r="152" spans="1:8" ht="18">
      <c r="A152" s="226"/>
      <c r="B152" s="169"/>
      <c r="C152" s="170"/>
      <c r="D152" s="277"/>
      <c r="E152" s="170"/>
      <c r="F152" s="170"/>
      <c r="G152" s="232"/>
    </row>
    <row r="153" spans="1:8" ht="216">
      <c r="A153" s="168">
        <f>A142+1</f>
        <v>6</v>
      </c>
      <c r="B153" s="169"/>
      <c r="C153" s="170"/>
      <c r="D153" s="351" t="str">
        <f>'BOQ-C&amp;I'!C30</f>
        <v>Providing, supplying and laying of plain cement concrete using 1:3:6 (1 of Cement : 3 of M.Sand : 4 of Aggregate) grade of any thickness  having 20 mm down grade course graded aggregate including laying the screed with the top to the required line, level and alignment but finishing the top roughly to receive the final layer of flooring of any pattern and design ( Screed Concrete ) - Below Basement /  Raft / UG Sump / STP/ETP/Collection well etc., Rate including all materials, labour charges, wastages , mixing, transportation, lead &amp; Lifts, curing, compaction etc. as complete with all respects complying with relevant standard specification, as directed by the departmental officers.</v>
      </c>
      <c r="E153" s="170"/>
      <c r="F153" s="170"/>
      <c r="G153" s="232"/>
    </row>
    <row r="154" spans="1:8" ht="20.25">
      <c r="A154" s="226"/>
      <c r="B154" s="169">
        <v>9</v>
      </c>
      <c r="C154" s="170" t="s">
        <v>1616</v>
      </c>
      <c r="D154" s="277" t="s">
        <v>1617</v>
      </c>
      <c r="E154" s="172">
        <f>'Lead Statement'!I9</f>
        <v>1601.08</v>
      </c>
      <c r="F154" s="170" t="s">
        <v>1616</v>
      </c>
      <c r="G154" s="232">
        <f>B154*E154</f>
        <v>14409.72</v>
      </c>
    </row>
    <row r="155" spans="1:8" ht="20.25">
      <c r="A155" s="226"/>
      <c r="B155" s="169">
        <v>4.5</v>
      </c>
      <c r="C155" s="170" t="s">
        <v>1616</v>
      </c>
      <c r="D155" s="277" t="s">
        <v>361</v>
      </c>
      <c r="E155" s="172">
        <f>G27</f>
        <v>4455.28</v>
      </c>
      <c r="F155" s="170" t="s">
        <v>1616</v>
      </c>
      <c r="G155" s="232">
        <f>B155*E155</f>
        <v>20048.759999999998</v>
      </c>
    </row>
    <row r="156" spans="1:8" ht="18">
      <c r="A156" s="226"/>
      <c r="B156" s="169">
        <v>1.8</v>
      </c>
      <c r="C156" s="170" t="s">
        <v>51</v>
      </c>
      <c r="D156" s="277" t="s">
        <v>360</v>
      </c>
      <c r="E156" s="172">
        <f>Labour!E5</f>
        <v>884</v>
      </c>
      <c r="F156" s="170" t="s">
        <v>165</v>
      </c>
      <c r="G156" s="232">
        <f>B156*E156</f>
        <v>1591.2</v>
      </c>
    </row>
    <row r="157" spans="1:8" ht="18">
      <c r="A157" s="226"/>
      <c r="B157" s="169">
        <v>17.7</v>
      </c>
      <c r="C157" s="170" t="s">
        <v>51</v>
      </c>
      <c r="D157" s="277" t="s">
        <v>151</v>
      </c>
      <c r="E157" s="172">
        <f>Labour!E6</f>
        <v>618</v>
      </c>
      <c r="F157" s="170" t="s">
        <v>165</v>
      </c>
      <c r="G157" s="232">
        <f>B157*E157</f>
        <v>10938.6</v>
      </c>
    </row>
    <row r="158" spans="1:8" ht="18">
      <c r="A158" s="226"/>
      <c r="B158" s="169">
        <v>14.1</v>
      </c>
      <c r="C158" s="170" t="s">
        <v>51</v>
      </c>
      <c r="D158" s="277" t="s">
        <v>150</v>
      </c>
      <c r="E158" s="172">
        <f>Labour!E7</f>
        <v>507</v>
      </c>
      <c r="F158" s="170" t="s">
        <v>165</v>
      </c>
      <c r="G158" s="232">
        <f>B158*E158</f>
        <v>7148.7</v>
      </c>
    </row>
    <row r="159" spans="1:8" ht="18">
      <c r="A159" s="226"/>
      <c r="B159" s="169"/>
      <c r="C159" s="170"/>
      <c r="D159" s="277" t="s">
        <v>154</v>
      </c>
      <c r="E159" s="170"/>
      <c r="F159" s="170"/>
      <c r="G159" s="232">
        <v>0.7</v>
      </c>
    </row>
    <row r="160" spans="1:8" ht="20.25">
      <c r="A160" s="226"/>
      <c r="B160" s="169"/>
      <c r="C160" s="170"/>
      <c r="D160" s="277" t="s">
        <v>1618</v>
      </c>
      <c r="E160" s="170"/>
      <c r="F160" s="170"/>
      <c r="G160" s="232">
        <f>SUM(G154:G159)</f>
        <v>54137.679999999986</v>
      </c>
    </row>
    <row r="161" spans="1:8" ht="20.25">
      <c r="A161" s="226"/>
      <c r="B161" s="169"/>
      <c r="C161" s="170"/>
      <c r="D161" s="272" t="s">
        <v>1619</v>
      </c>
      <c r="E161" s="170"/>
      <c r="F161" s="170"/>
      <c r="G161" s="267">
        <f>ROUNDUP((G160/10),0)</f>
        <v>5414</v>
      </c>
    </row>
    <row r="162" spans="1:8" ht="18">
      <c r="A162" s="226"/>
      <c r="B162" s="169"/>
      <c r="C162" s="170"/>
      <c r="D162" s="272"/>
      <c r="E162" s="170"/>
      <c r="F162" s="170"/>
      <c r="G162" s="267"/>
    </row>
    <row r="163" spans="1:8" ht="18">
      <c r="A163" s="226"/>
      <c r="B163" s="169"/>
      <c r="C163" s="170"/>
      <c r="D163" s="272" t="s">
        <v>359</v>
      </c>
      <c r="E163" s="170"/>
      <c r="F163" s="170"/>
      <c r="G163" s="232"/>
    </row>
    <row r="164" spans="1:8" ht="342">
      <c r="A164" s="168">
        <f>+A153+1</f>
        <v>7</v>
      </c>
      <c r="B164" s="169"/>
      <c r="C164" s="170"/>
      <c r="D164" s="351" t="str">
        <f>'BOQ-C&amp;I'!C32</f>
        <v xml:space="preserve">Providing and laying in position, Standardised Concrete Mix M-30 Grade in accordance with IS:456-2000, using 20mm and down graded hard broken granite stone jelly for all RCC items of works with minimum cement content of 400 kg/mᶾ and maximum water cement ratio of 0.45, including admixture (plasticiser / super plasticiser) in recommended proportions as per IS:9103 to accelerate, retard setting of concrete, improve workability without impairing strength and durability with about (5.0 cu.m.) 7730 kg. of 20mm machine crushed stone jelly and with about (3.3 cu.m.) 5156 kg. of 10-12mm machine crushed stone jelly and with about (4.79 cu.m.) 7670 kg. of M.Sand, but excluding cost of reinforcement grill and fabricating charges, centering and shuttering and also including laying, vibrating with mechanical vibrators, finishing, curing, etc. and providing fixtures like fan clamps in the RCC floor/ roof slabs wherever necessary without claiming extra, etc., complete complying with standard specification and as directed by the departmental officers.  </v>
      </c>
      <c r="E164" s="170"/>
      <c r="F164" s="170"/>
      <c r="G164" s="232"/>
    </row>
    <row r="165" spans="1:8" ht="18">
      <c r="A165" s="226"/>
      <c r="B165" s="170"/>
      <c r="C165" s="170"/>
      <c r="D165" s="304" t="s">
        <v>351</v>
      </c>
      <c r="E165" s="170"/>
      <c r="F165" s="170"/>
      <c r="G165" s="232"/>
    </row>
    <row r="166" spans="1:8" ht="18">
      <c r="A166" s="226"/>
      <c r="B166" s="477">
        <v>0.5</v>
      </c>
      <c r="C166" s="170" t="s">
        <v>348</v>
      </c>
      <c r="D166" s="277" t="s">
        <v>358</v>
      </c>
      <c r="E166" s="172">
        <f>'Lead Statement'!I9</f>
        <v>1601.08</v>
      </c>
      <c r="F166" s="170" t="s">
        <v>348</v>
      </c>
      <c r="G166" s="355">
        <f>(B166*E166)</f>
        <v>800.54</v>
      </c>
    </row>
    <row r="167" spans="1:8" ht="18">
      <c r="A167" s="226"/>
      <c r="B167" s="477">
        <v>0.33</v>
      </c>
      <c r="C167" s="170" t="s">
        <v>348</v>
      </c>
      <c r="D167" s="277" t="s">
        <v>357</v>
      </c>
      <c r="E167" s="172">
        <f>AVERAGE('Lead Statement'!I7:I8)</f>
        <v>1315.58</v>
      </c>
      <c r="F167" s="170" t="s">
        <v>348</v>
      </c>
      <c r="G167" s="355">
        <f>(B167*E167)</f>
        <v>434.14139999999998</v>
      </c>
    </row>
    <row r="168" spans="1:8" ht="18">
      <c r="A168" s="226"/>
      <c r="B168" s="477">
        <v>0.47899999999999998</v>
      </c>
      <c r="C168" s="170" t="s">
        <v>348</v>
      </c>
      <c r="D168" s="277" t="s">
        <v>356</v>
      </c>
      <c r="E168" s="172">
        <f>'Lead Statement'!I4</f>
        <v>1446.08</v>
      </c>
      <c r="F168" s="170" t="s">
        <v>348</v>
      </c>
      <c r="G168" s="355">
        <f>(B168*E168)</f>
        <v>692.6723199999999</v>
      </c>
    </row>
    <row r="169" spans="1:8" ht="18">
      <c r="A169" s="226"/>
      <c r="B169" s="477">
        <v>0.4</v>
      </c>
      <c r="C169" s="170" t="s">
        <v>131</v>
      </c>
      <c r="D169" s="277" t="s">
        <v>355</v>
      </c>
      <c r="E169" s="172">
        <f>'Lead Statement'!I13</f>
        <v>6040</v>
      </c>
      <c r="F169" s="170" t="s">
        <v>131</v>
      </c>
      <c r="G169" s="355">
        <f>(B169*E169)</f>
        <v>2416</v>
      </c>
    </row>
    <row r="170" spans="1:8" ht="18">
      <c r="A170" s="226"/>
      <c r="B170" s="477">
        <v>0.35</v>
      </c>
      <c r="C170" s="170" t="s">
        <v>354</v>
      </c>
      <c r="D170" s="277" t="s">
        <v>206</v>
      </c>
      <c r="E170" s="172">
        <f>Labour!E5</f>
        <v>884</v>
      </c>
      <c r="F170" s="170" t="s">
        <v>353</v>
      </c>
      <c r="G170" s="355">
        <f t="shared" ref="G170" si="0">(B170*E170)</f>
        <v>309.39999999999998</v>
      </c>
    </row>
    <row r="171" spans="1:8" ht="18">
      <c r="A171" s="226"/>
      <c r="B171" s="477">
        <v>2.12</v>
      </c>
      <c r="C171" s="170" t="s">
        <v>354</v>
      </c>
      <c r="D171" s="277" t="s">
        <v>205</v>
      </c>
      <c r="E171" s="172">
        <f>Labour!E6</f>
        <v>618</v>
      </c>
      <c r="F171" s="170" t="s">
        <v>353</v>
      </c>
      <c r="G171" s="355">
        <f>(B171*E171)</f>
        <v>1310.1600000000001</v>
      </c>
    </row>
    <row r="172" spans="1:8" ht="18">
      <c r="A172" s="226"/>
      <c r="B172" s="477">
        <v>3.53</v>
      </c>
      <c r="C172" s="170" t="s">
        <v>354</v>
      </c>
      <c r="D172" s="277" t="s">
        <v>203</v>
      </c>
      <c r="E172" s="172">
        <f>Labour!E7</f>
        <v>507</v>
      </c>
      <c r="F172" s="170" t="s">
        <v>353</v>
      </c>
      <c r="G172" s="355">
        <f>(B172*E172)</f>
        <v>1789.7099999999998</v>
      </c>
    </row>
    <row r="173" spans="1:8" ht="36">
      <c r="A173" s="226"/>
      <c r="B173" s="477">
        <f>(1/100)*B169*1000</f>
        <v>4</v>
      </c>
      <c r="C173" s="170" t="s">
        <v>162</v>
      </c>
      <c r="D173" s="277" t="s">
        <v>352</v>
      </c>
      <c r="E173" s="172">
        <f>Material!D40</f>
        <v>43.2</v>
      </c>
      <c r="F173" s="170" t="s">
        <v>162</v>
      </c>
      <c r="G173" s="232">
        <f>(B173*E173)</f>
        <v>172.8</v>
      </c>
    </row>
    <row r="174" spans="1:8" ht="18">
      <c r="A174" s="226"/>
      <c r="B174" s="170"/>
      <c r="C174" s="170"/>
      <c r="D174" s="277" t="s">
        <v>154</v>
      </c>
      <c r="E174" s="170"/>
      <c r="F174" s="170"/>
      <c r="G174" s="232"/>
    </row>
    <row r="175" spans="1:8" ht="36">
      <c r="A175" s="226"/>
      <c r="B175" s="170"/>
      <c r="C175" s="170"/>
      <c r="D175" s="272" t="s">
        <v>686</v>
      </c>
      <c r="E175" s="170"/>
      <c r="F175" s="170"/>
      <c r="G175" s="267">
        <f>SUM(G166:G174)</f>
        <v>7925.4237199999998</v>
      </c>
      <c r="H175" s="276"/>
    </row>
    <row r="176" spans="1:8" ht="18">
      <c r="A176" s="226"/>
      <c r="B176" s="170"/>
      <c r="C176" s="170"/>
      <c r="D176" s="277"/>
      <c r="E176" s="170"/>
      <c r="F176" s="170"/>
      <c r="G176" s="232"/>
    </row>
    <row r="177" spans="1:9" ht="18">
      <c r="A177" s="226"/>
      <c r="B177" s="169"/>
      <c r="C177" s="170"/>
      <c r="D177" s="304" t="s">
        <v>351</v>
      </c>
      <c r="E177" s="170"/>
      <c r="F177" s="170"/>
      <c r="G177" s="232"/>
    </row>
    <row r="178" spans="1:9" ht="18">
      <c r="A178" s="226"/>
      <c r="B178" s="169">
        <v>1</v>
      </c>
      <c r="C178" s="170" t="s">
        <v>348</v>
      </c>
      <c r="D178" s="277" t="s">
        <v>350</v>
      </c>
      <c r="E178" s="172">
        <f>G175</f>
        <v>7925.4237199999998</v>
      </c>
      <c r="F178" s="170" t="s">
        <v>348</v>
      </c>
      <c r="G178" s="232">
        <f>(B178*E178)</f>
        <v>7925.4237199999998</v>
      </c>
      <c r="I178" s="276"/>
    </row>
    <row r="179" spans="1:9" ht="18">
      <c r="A179" s="226"/>
      <c r="B179" s="169">
        <v>1</v>
      </c>
      <c r="C179" s="170" t="s">
        <v>348</v>
      </c>
      <c r="D179" s="277" t="s">
        <v>349</v>
      </c>
      <c r="E179" s="172">
        <f>Labour!E21</f>
        <v>89.4</v>
      </c>
      <c r="F179" s="170" t="s">
        <v>348</v>
      </c>
      <c r="G179" s="232">
        <f>(B179*E179)</f>
        <v>89.4</v>
      </c>
    </row>
    <row r="180" spans="1:9" ht="18">
      <c r="A180" s="226"/>
      <c r="B180" s="169"/>
      <c r="C180" s="170"/>
      <c r="D180" s="277" t="s">
        <v>977</v>
      </c>
      <c r="E180" s="170"/>
      <c r="F180" s="170" t="s">
        <v>348</v>
      </c>
      <c r="G180" s="232">
        <f>(G179+G178)*0.5%</f>
        <v>40.074118599999998</v>
      </c>
    </row>
    <row r="181" spans="1:9" ht="20.25">
      <c r="A181" s="226"/>
      <c r="B181" s="169"/>
      <c r="C181" s="170"/>
      <c r="D181" s="272" t="s">
        <v>1619</v>
      </c>
      <c r="E181" s="170"/>
      <c r="F181" s="170"/>
      <c r="G181" s="267">
        <f>SUM(G178:G180)</f>
        <v>8054.897838599999</v>
      </c>
    </row>
    <row r="182" spans="1:9" ht="18">
      <c r="A182" s="226"/>
      <c r="B182" s="169"/>
      <c r="C182" s="170"/>
      <c r="D182" s="356"/>
      <c r="E182" s="170"/>
      <c r="F182" s="170"/>
      <c r="G182" s="267"/>
    </row>
    <row r="183" spans="1:9" ht="18">
      <c r="A183" s="226"/>
      <c r="B183" s="169"/>
      <c r="C183" s="170"/>
      <c r="D183" s="272" t="s">
        <v>347</v>
      </c>
      <c r="E183" s="170"/>
      <c r="F183" s="170"/>
      <c r="G183" s="267">
        <f>G181</f>
        <v>8054.897838599999</v>
      </c>
      <c r="H183" s="276"/>
    </row>
    <row r="184" spans="1:9" ht="18">
      <c r="A184" s="226"/>
      <c r="B184" s="169"/>
      <c r="C184" s="170"/>
      <c r="D184" s="356"/>
      <c r="E184" s="170"/>
      <c r="F184" s="170"/>
      <c r="G184" s="195"/>
    </row>
    <row r="185" spans="1:9" ht="18">
      <c r="A185" s="274" t="s">
        <v>71</v>
      </c>
      <c r="B185" s="169"/>
      <c r="C185" s="170"/>
      <c r="D185" s="277" t="s">
        <v>133</v>
      </c>
      <c r="E185" s="172">
        <f>G183</f>
        <v>8054.897838599999</v>
      </c>
      <c r="F185" s="172"/>
      <c r="G185" s="303">
        <f t="shared" ref="G185:G190" si="1">ROUNDUP(E185+F185,0)</f>
        <v>8055</v>
      </c>
    </row>
    <row r="186" spans="1:9" ht="18">
      <c r="A186" s="274" t="s">
        <v>70</v>
      </c>
      <c r="B186" s="169"/>
      <c r="C186" s="170"/>
      <c r="D186" s="277" t="s">
        <v>12</v>
      </c>
      <c r="E186" s="172">
        <f>G183</f>
        <v>8054.897838599999</v>
      </c>
      <c r="F186" s="172">
        <f>Labour!E33</f>
        <v>113.6</v>
      </c>
      <c r="G186" s="303">
        <f t="shared" si="1"/>
        <v>8169</v>
      </c>
    </row>
    <row r="187" spans="1:9" ht="18">
      <c r="A187" s="274" t="s">
        <v>69</v>
      </c>
      <c r="B187" s="169"/>
      <c r="C187" s="170"/>
      <c r="D187" s="277" t="s">
        <v>123</v>
      </c>
      <c r="E187" s="172">
        <f t="shared" ref="E187:E190" si="2">G186</f>
        <v>8169</v>
      </c>
      <c r="F187" s="172">
        <f>Labour!E34</f>
        <v>223.8</v>
      </c>
      <c r="G187" s="303">
        <f t="shared" si="1"/>
        <v>8393</v>
      </c>
    </row>
    <row r="188" spans="1:9" ht="18">
      <c r="A188" s="274" t="s">
        <v>68</v>
      </c>
      <c r="B188" s="169"/>
      <c r="C188" s="170"/>
      <c r="D188" s="277" t="s">
        <v>122</v>
      </c>
      <c r="E188" s="172">
        <f t="shared" si="2"/>
        <v>8393</v>
      </c>
      <c r="F188" s="172">
        <f>F187</f>
        <v>223.8</v>
      </c>
      <c r="G188" s="303">
        <f t="shared" si="1"/>
        <v>8617</v>
      </c>
    </row>
    <row r="189" spans="1:9" ht="18">
      <c r="A189" s="274" t="s">
        <v>67</v>
      </c>
      <c r="B189" s="169"/>
      <c r="C189" s="170"/>
      <c r="D189" s="277" t="s">
        <v>553</v>
      </c>
      <c r="E189" s="172">
        <f t="shared" si="2"/>
        <v>8617</v>
      </c>
      <c r="F189" s="172">
        <f>F188</f>
        <v>223.8</v>
      </c>
      <c r="G189" s="303">
        <f t="shared" si="1"/>
        <v>8841</v>
      </c>
    </row>
    <row r="190" spans="1:9" ht="18">
      <c r="A190" s="274" t="s">
        <v>124</v>
      </c>
      <c r="B190" s="169"/>
      <c r="C190" s="170"/>
      <c r="D190" s="277" t="s">
        <v>25</v>
      </c>
      <c r="E190" s="172">
        <f t="shared" si="2"/>
        <v>8841</v>
      </c>
      <c r="F190" s="172">
        <f>F189</f>
        <v>223.8</v>
      </c>
      <c r="G190" s="303">
        <f t="shared" si="1"/>
        <v>9065</v>
      </c>
    </row>
    <row r="191" spans="1:9" ht="18">
      <c r="A191" s="226"/>
      <c r="B191" s="169"/>
      <c r="C191" s="170"/>
      <c r="D191" s="277"/>
      <c r="E191" s="170"/>
      <c r="F191" s="170"/>
      <c r="G191" s="195"/>
      <c r="H191" s="357"/>
    </row>
    <row r="192" spans="1:9" ht="18">
      <c r="A192" s="226"/>
      <c r="B192" s="169"/>
      <c r="C192" s="170"/>
      <c r="D192" s="272" t="s">
        <v>1883</v>
      </c>
      <c r="E192" s="170"/>
      <c r="F192" s="170"/>
      <c r="G192" s="195"/>
      <c r="H192" s="357"/>
    </row>
    <row r="193" spans="1:11" ht="342">
      <c r="A193" s="226">
        <f>'BOQ-C&amp;I'!A39</f>
        <v>8</v>
      </c>
      <c r="B193" s="169"/>
      <c r="C193" s="170"/>
      <c r="D193" s="277" t="str">
        <f>'BOQ-C&amp;I'!C39</f>
        <v xml:space="preserve">Providing and laying in position, Standardised Concrete Mix M-25 Grade in accordance with IS:456-2000, using 20mm and down graded hard broken granite stone jelly for all RCC items of works with minimum cement content of 350 kg/mᶾ and maximum water cement ratio of 0.45, including admixture (plasticiser / super plasticiser) in recommended proportions as per IS:9103 to accelerate, retard setting of concrete, improve workability without impairing strength and durability with about (5.0 cu.m.) 7730 kg. of 20mm machine crushed stone jelly and with about (3.3 cu.m.) 5156 kg. of 10-12mm machine crushed stone jelly and with about (4.79 cu.m.) 7670 kg. of M.Sand, but excluding cost of reinforcement grill and fabricating charges, centering and shuttering and also including laying, vibrating with mechanical vibrators, finishing, curing, etc. and providing fixtures like fan clamps in the RCC floor/ roof slabs wherever necessary without claiming extra, etc., complete complying with standard specification and as directed by the departmental officers.  </v>
      </c>
      <c r="E193" s="170"/>
      <c r="F193" s="170"/>
      <c r="G193" s="195"/>
      <c r="H193" s="357"/>
    </row>
    <row r="194" spans="1:11" ht="18">
      <c r="A194" s="226"/>
      <c r="B194" s="170"/>
      <c r="C194" s="170"/>
      <c r="D194" s="304" t="s">
        <v>351</v>
      </c>
      <c r="E194" s="170"/>
      <c r="F194" s="170"/>
      <c r="G194" s="232"/>
      <c r="H194" s="357"/>
    </row>
    <row r="195" spans="1:11" ht="18">
      <c r="A195" s="226"/>
      <c r="B195" s="477">
        <v>0.5</v>
      </c>
      <c r="C195" s="170" t="s">
        <v>348</v>
      </c>
      <c r="D195" s="277" t="s">
        <v>358</v>
      </c>
      <c r="E195" s="172">
        <f>'Lead Statement'!I9</f>
        <v>1601.08</v>
      </c>
      <c r="F195" s="170" t="s">
        <v>348</v>
      </c>
      <c r="G195" s="355">
        <f>(B195*E195)</f>
        <v>800.54</v>
      </c>
      <c r="H195" s="357"/>
      <c r="K195" s="478"/>
    </row>
    <row r="196" spans="1:11" ht="18">
      <c r="A196" s="226"/>
      <c r="B196" s="477">
        <v>0.33</v>
      </c>
      <c r="C196" s="170" t="s">
        <v>348</v>
      </c>
      <c r="D196" s="277" t="s">
        <v>357</v>
      </c>
      <c r="E196" s="172">
        <f>AVERAGE('Lead Statement'!I7:I8)</f>
        <v>1315.58</v>
      </c>
      <c r="F196" s="170" t="s">
        <v>348</v>
      </c>
      <c r="G196" s="355">
        <f>(B196*E196)</f>
        <v>434.14139999999998</v>
      </c>
      <c r="H196" s="357"/>
      <c r="K196" s="478"/>
    </row>
    <row r="197" spans="1:11" ht="18">
      <c r="A197" s="226"/>
      <c r="B197" s="477">
        <v>0.47899999999999998</v>
      </c>
      <c r="C197" s="170" t="s">
        <v>348</v>
      </c>
      <c r="D197" s="277" t="s">
        <v>356</v>
      </c>
      <c r="E197" s="172">
        <f>'Lead Statement'!I4</f>
        <v>1446.08</v>
      </c>
      <c r="F197" s="170" t="s">
        <v>348</v>
      </c>
      <c r="G197" s="355">
        <f>(B197*E197)</f>
        <v>692.6723199999999</v>
      </c>
      <c r="H197" s="357"/>
      <c r="K197" s="478"/>
    </row>
    <row r="198" spans="1:11" ht="18">
      <c r="A198" s="226"/>
      <c r="B198" s="477">
        <v>0.35</v>
      </c>
      <c r="C198" s="170" t="s">
        <v>131</v>
      </c>
      <c r="D198" s="277" t="s">
        <v>355</v>
      </c>
      <c r="E198" s="172">
        <f>'Lead Statement'!I13</f>
        <v>6040</v>
      </c>
      <c r="F198" s="170" t="s">
        <v>131</v>
      </c>
      <c r="G198" s="355">
        <f>(B198*E198)</f>
        <v>2114</v>
      </c>
      <c r="H198" s="357"/>
      <c r="K198" s="478"/>
    </row>
    <row r="199" spans="1:11" ht="18">
      <c r="A199" s="226"/>
      <c r="B199" s="477">
        <v>0.35</v>
      </c>
      <c r="C199" s="170" t="s">
        <v>354</v>
      </c>
      <c r="D199" s="277" t="s">
        <v>206</v>
      </c>
      <c r="E199" s="172">
        <f>Labour!E5</f>
        <v>884</v>
      </c>
      <c r="F199" s="170" t="s">
        <v>353</v>
      </c>
      <c r="G199" s="355">
        <f t="shared" ref="G199" si="3">(B199*E199)</f>
        <v>309.39999999999998</v>
      </c>
      <c r="H199" s="357"/>
      <c r="K199" s="478"/>
    </row>
    <row r="200" spans="1:11" ht="18">
      <c r="A200" s="226"/>
      <c r="B200" s="477">
        <v>2.12</v>
      </c>
      <c r="C200" s="170" t="s">
        <v>354</v>
      </c>
      <c r="D200" s="277" t="s">
        <v>205</v>
      </c>
      <c r="E200" s="172">
        <f>Labour!E6</f>
        <v>618</v>
      </c>
      <c r="F200" s="170" t="s">
        <v>353</v>
      </c>
      <c r="G200" s="355">
        <f>(B200*E200)</f>
        <v>1310.1600000000001</v>
      </c>
      <c r="H200" s="357"/>
      <c r="K200" s="478"/>
    </row>
    <row r="201" spans="1:11" ht="18">
      <c r="A201" s="226"/>
      <c r="B201" s="477">
        <v>3.53</v>
      </c>
      <c r="C201" s="170" t="s">
        <v>354</v>
      </c>
      <c r="D201" s="277" t="s">
        <v>203</v>
      </c>
      <c r="E201" s="172">
        <f>Labour!E7</f>
        <v>507</v>
      </c>
      <c r="F201" s="170" t="s">
        <v>353</v>
      </c>
      <c r="G201" s="355">
        <f>(B201*E201)</f>
        <v>1789.7099999999998</v>
      </c>
      <c r="H201" s="357"/>
      <c r="K201" s="478"/>
    </row>
    <row r="202" spans="1:11" ht="36">
      <c r="A202" s="226"/>
      <c r="B202" s="477">
        <v>2.8</v>
      </c>
      <c r="C202" s="170" t="s">
        <v>162</v>
      </c>
      <c r="D202" s="277" t="s">
        <v>352</v>
      </c>
      <c r="E202" s="172">
        <f>Material!D40</f>
        <v>43.2</v>
      </c>
      <c r="F202" s="170" t="s">
        <v>162</v>
      </c>
      <c r="G202" s="232">
        <f>(B202*E202)</f>
        <v>120.96</v>
      </c>
      <c r="H202" s="357"/>
      <c r="K202" s="478"/>
    </row>
    <row r="203" spans="1:11" ht="18">
      <c r="A203" s="226"/>
      <c r="B203" s="170"/>
      <c r="C203" s="170"/>
      <c r="D203" s="277" t="s">
        <v>154</v>
      </c>
      <c r="E203" s="170"/>
      <c r="F203" s="170"/>
      <c r="G203" s="232"/>
      <c r="H203" s="357"/>
    </row>
    <row r="204" spans="1:11" ht="36">
      <c r="A204" s="226"/>
      <c r="B204" s="170"/>
      <c r="C204" s="170"/>
      <c r="D204" s="272" t="s">
        <v>686</v>
      </c>
      <c r="E204" s="170"/>
      <c r="F204" s="170"/>
      <c r="G204" s="267">
        <f>SUM(G195:G203)</f>
        <v>7571.5837199999996</v>
      </c>
      <c r="H204" s="357"/>
    </row>
    <row r="205" spans="1:11" ht="18">
      <c r="A205" s="226"/>
      <c r="B205" s="169"/>
      <c r="C205" s="170"/>
      <c r="D205" s="277"/>
      <c r="E205" s="170"/>
      <c r="F205" s="170"/>
      <c r="G205" s="195"/>
      <c r="H205" s="357"/>
    </row>
    <row r="206" spans="1:11" ht="18">
      <c r="A206" s="226"/>
      <c r="B206" s="169"/>
      <c r="C206" s="170"/>
      <c r="D206" s="304" t="s">
        <v>351</v>
      </c>
      <c r="E206" s="170"/>
      <c r="F206" s="170"/>
      <c r="G206" s="232"/>
      <c r="H206" s="357"/>
    </row>
    <row r="207" spans="1:11" ht="18">
      <c r="A207" s="226"/>
      <c r="B207" s="169">
        <v>1</v>
      </c>
      <c r="C207" s="170" t="s">
        <v>348</v>
      </c>
      <c r="D207" s="277" t="s">
        <v>350</v>
      </c>
      <c r="E207" s="172">
        <f>G204</f>
        <v>7571.5837199999996</v>
      </c>
      <c r="F207" s="170" t="s">
        <v>348</v>
      </c>
      <c r="G207" s="232">
        <f>(B207*E207)</f>
        <v>7571.5837199999996</v>
      </c>
      <c r="H207" s="357"/>
    </row>
    <row r="208" spans="1:11" ht="18">
      <c r="A208" s="226"/>
      <c r="B208" s="169">
        <v>1</v>
      </c>
      <c r="C208" s="170" t="s">
        <v>348</v>
      </c>
      <c r="D208" s="277" t="s">
        <v>349</v>
      </c>
      <c r="E208" s="172">
        <f>Labour!E21</f>
        <v>89.4</v>
      </c>
      <c r="F208" s="170" t="s">
        <v>348</v>
      </c>
      <c r="G208" s="232">
        <f>(B208*E208)</f>
        <v>89.4</v>
      </c>
      <c r="H208" s="357"/>
    </row>
    <row r="209" spans="1:8" ht="18">
      <c r="A209" s="226"/>
      <c r="B209" s="169"/>
      <c r="C209" s="170"/>
      <c r="D209" s="277" t="s">
        <v>977</v>
      </c>
      <c r="E209" s="170"/>
      <c r="F209" s="170" t="s">
        <v>348</v>
      </c>
      <c r="G209" s="232">
        <f>(G208+G207)*0.5%</f>
        <v>38.304918600000001</v>
      </c>
      <c r="H209" s="357"/>
    </row>
    <row r="210" spans="1:8" ht="20.25">
      <c r="A210" s="226"/>
      <c r="B210" s="169"/>
      <c r="C210" s="170"/>
      <c r="D210" s="272" t="s">
        <v>1619</v>
      </c>
      <c r="E210" s="170"/>
      <c r="F210" s="170"/>
      <c r="G210" s="267">
        <f>SUM(G207:G209)</f>
        <v>7699.2886385999991</v>
      </c>
      <c r="H210" s="357"/>
    </row>
    <row r="211" spans="1:8" ht="18">
      <c r="A211" s="226"/>
      <c r="B211" s="169"/>
      <c r="C211" s="170"/>
      <c r="D211" s="277"/>
      <c r="E211" s="170"/>
      <c r="F211" s="170"/>
      <c r="G211" s="195"/>
      <c r="H211" s="357"/>
    </row>
    <row r="212" spans="1:8" ht="18">
      <c r="A212" s="226"/>
      <c r="B212" s="169"/>
      <c r="C212" s="170"/>
      <c r="D212" s="272" t="s">
        <v>347</v>
      </c>
      <c r="E212" s="170"/>
      <c r="F212" s="170"/>
      <c r="G212" s="267">
        <f>G210</f>
        <v>7699.2886385999991</v>
      </c>
      <c r="H212" s="357"/>
    </row>
    <row r="213" spans="1:8" ht="18">
      <c r="A213" s="226"/>
      <c r="B213" s="169"/>
      <c r="C213" s="170"/>
      <c r="D213" s="356"/>
      <c r="E213" s="170"/>
      <c r="F213" s="170"/>
      <c r="G213" s="195"/>
      <c r="H213" s="357"/>
    </row>
    <row r="214" spans="1:8" ht="18">
      <c r="A214" s="274" t="s">
        <v>71</v>
      </c>
      <c r="B214" s="169"/>
      <c r="C214" s="170"/>
      <c r="D214" s="277" t="s">
        <v>133</v>
      </c>
      <c r="E214" s="172">
        <f>G212</f>
        <v>7699.2886385999991</v>
      </c>
      <c r="F214" s="172"/>
      <c r="G214" s="303">
        <f t="shared" ref="G214:G219" si="4">ROUNDUP(E214+F214,0)</f>
        <v>7700</v>
      </c>
      <c r="H214" s="357"/>
    </row>
    <row r="215" spans="1:8" ht="18">
      <c r="A215" s="274" t="s">
        <v>70</v>
      </c>
      <c r="B215" s="169"/>
      <c r="C215" s="170"/>
      <c r="D215" s="277" t="s">
        <v>12</v>
      </c>
      <c r="E215" s="172">
        <f>G212</f>
        <v>7699.2886385999991</v>
      </c>
      <c r="F215" s="172">
        <f>Labour!E33</f>
        <v>113.6</v>
      </c>
      <c r="G215" s="303">
        <f t="shared" si="4"/>
        <v>7813</v>
      </c>
      <c r="H215" s="357"/>
    </row>
    <row r="216" spans="1:8" ht="18">
      <c r="A216" s="274" t="s">
        <v>69</v>
      </c>
      <c r="B216" s="169"/>
      <c r="C216" s="170"/>
      <c r="D216" s="277" t="s">
        <v>123</v>
      </c>
      <c r="E216" s="172">
        <f t="shared" ref="E216:E219" si="5">G215</f>
        <v>7813</v>
      </c>
      <c r="F216" s="172">
        <f>Labour!E34</f>
        <v>223.8</v>
      </c>
      <c r="G216" s="303">
        <f t="shared" si="4"/>
        <v>8037</v>
      </c>
      <c r="H216" s="357"/>
    </row>
    <row r="217" spans="1:8" ht="18">
      <c r="A217" s="274" t="s">
        <v>68</v>
      </c>
      <c r="B217" s="169"/>
      <c r="C217" s="170"/>
      <c r="D217" s="277" t="s">
        <v>122</v>
      </c>
      <c r="E217" s="172">
        <f t="shared" si="5"/>
        <v>8037</v>
      </c>
      <c r="F217" s="172">
        <f>F216</f>
        <v>223.8</v>
      </c>
      <c r="G217" s="303">
        <f t="shared" si="4"/>
        <v>8261</v>
      </c>
      <c r="H217" s="357"/>
    </row>
    <row r="218" spans="1:8" ht="18">
      <c r="A218" s="274" t="s">
        <v>67</v>
      </c>
      <c r="B218" s="169"/>
      <c r="C218" s="170"/>
      <c r="D218" s="277" t="s">
        <v>553</v>
      </c>
      <c r="E218" s="172">
        <f t="shared" si="5"/>
        <v>8261</v>
      </c>
      <c r="F218" s="172">
        <f>F217</f>
        <v>223.8</v>
      </c>
      <c r="G218" s="303">
        <f t="shared" si="4"/>
        <v>8485</v>
      </c>
      <c r="H218" s="357"/>
    </row>
    <row r="219" spans="1:8" ht="18">
      <c r="A219" s="274" t="s">
        <v>124</v>
      </c>
      <c r="B219" s="169"/>
      <c r="C219" s="170"/>
      <c r="D219" s="277" t="s">
        <v>25</v>
      </c>
      <c r="E219" s="172">
        <f t="shared" si="5"/>
        <v>8485</v>
      </c>
      <c r="F219" s="172">
        <f>F218</f>
        <v>223.8</v>
      </c>
      <c r="G219" s="303">
        <f t="shared" si="4"/>
        <v>8709</v>
      </c>
      <c r="H219" s="357"/>
    </row>
    <row r="220" spans="1:8" ht="18">
      <c r="A220" s="226"/>
      <c r="B220" s="169"/>
      <c r="C220" s="170"/>
      <c r="D220" s="277"/>
      <c r="E220" s="170"/>
      <c r="F220" s="170"/>
      <c r="G220" s="195"/>
      <c r="H220" s="357"/>
    </row>
    <row r="221" spans="1:8" ht="180">
      <c r="A221" s="168">
        <f>+A164+1</f>
        <v>8</v>
      </c>
      <c r="B221" s="169"/>
      <c r="C221" s="170"/>
      <c r="D221" s="351" t="str">
        <f>'BOQ-C&amp;I'!C46</f>
        <v>Supplying and fixing of Precast slab RCC 1:2:4 (1 of Cement : 2 of  M.Sand : 4 of Aggregate) for the following thickness using 20mm downgrade size hard broken stone jelly including the cost of molding with / without perforation of size as per drawing, labour charges, materials, finishing smooth on exposed surfaces, curing, transporting to the site, lead &amp; lifts fixing in position, etc complete but excluding the cost of steel reinforcement and cost of shuttering and as directed by the departmental officers.</v>
      </c>
      <c r="E221" s="170"/>
      <c r="F221" s="170"/>
      <c r="G221" s="358"/>
    </row>
    <row r="222" spans="1:8" ht="18">
      <c r="A222" s="226"/>
      <c r="B222" s="169"/>
      <c r="C222" s="170"/>
      <c r="D222" s="304" t="s">
        <v>132</v>
      </c>
      <c r="E222" s="359"/>
      <c r="F222" s="360"/>
      <c r="G222" s="195"/>
    </row>
    <row r="223" spans="1:8" ht="18">
      <c r="A223" s="226"/>
      <c r="B223" s="169"/>
      <c r="C223" s="170"/>
      <c r="D223" s="277" t="s">
        <v>342</v>
      </c>
      <c r="E223" s="170"/>
      <c r="F223" s="170"/>
      <c r="G223" s="232"/>
    </row>
    <row r="224" spans="1:8" ht="18">
      <c r="A224" s="226"/>
      <c r="B224" s="169"/>
      <c r="C224" s="170"/>
      <c r="D224" s="277" t="s">
        <v>346</v>
      </c>
      <c r="E224" s="170"/>
      <c r="F224" s="170"/>
      <c r="G224" s="232"/>
    </row>
    <row r="225" spans="1:7" ht="36">
      <c r="A225" s="226"/>
      <c r="B225" s="169">
        <f>(((1+0.065+0.065)*2)+((0.6+0.065+0.065)*2))*(0.1*0.065)</f>
        <v>2.418E-2</v>
      </c>
      <c r="C225" s="170" t="s">
        <v>155</v>
      </c>
      <c r="D225" s="277" t="s">
        <v>345</v>
      </c>
      <c r="E225" s="170"/>
      <c r="F225" s="170"/>
      <c r="G225" s="232"/>
    </row>
    <row r="226" spans="1:7" ht="18">
      <c r="A226" s="226"/>
      <c r="B226" s="169">
        <f>1*0.6*0.1</f>
        <v>0.06</v>
      </c>
      <c r="C226" s="170" t="s">
        <v>155</v>
      </c>
      <c r="D226" s="277" t="s">
        <v>344</v>
      </c>
      <c r="E226" s="170"/>
      <c r="F226" s="170"/>
      <c r="G226" s="195"/>
    </row>
    <row r="227" spans="1:7" ht="18">
      <c r="A227" s="226"/>
      <c r="B227" s="169"/>
      <c r="C227" s="170"/>
      <c r="D227" s="277" t="s">
        <v>341</v>
      </c>
      <c r="E227" s="170"/>
      <c r="F227" s="170"/>
      <c r="G227" s="267"/>
    </row>
    <row r="228" spans="1:7" ht="18">
      <c r="A228" s="226"/>
      <c r="B228" s="169">
        <f>B225</f>
        <v>2.418E-2</v>
      </c>
      <c r="C228" s="170" t="s">
        <v>155</v>
      </c>
      <c r="D228" s="277" t="s">
        <v>340</v>
      </c>
      <c r="E228" s="172">
        <f>Material!D16</f>
        <v>34300</v>
      </c>
      <c r="F228" s="170" t="s">
        <v>155</v>
      </c>
      <c r="G228" s="232">
        <f>E228*B228</f>
        <v>829.37400000000002</v>
      </c>
    </row>
    <row r="229" spans="1:7" ht="18">
      <c r="A229" s="226"/>
      <c r="B229" s="169">
        <f>B228</f>
        <v>2.418E-2</v>
      </c>
      <c r="C229" s="170" t="s">
        <v>155</v>
      </c>
      <c r="D229" s="277" t="s">
        <v>339</v>
      </c>
      <c r="E229" s="172">
        <f>Material!D13</f>
        <v>12980</v>
      </c>
      <c r="F229" s="170" t="s">
        <v>155</v>
      </c>
      <c r="G229" s="232">
        <f>E229*B229</f>
        <v>313.85640000000001</v>
      </c>
    </row>
    <row r="230" spans="1:7" ht="18">
      <c r="A230" s="226"/>
      <c r="B230" s="169"/>
      <c r="C230" s="170"/>
      <c r="D230" s="277" t="s">
        <v>1464</v>
      </c>
      <c r="E230" s="172">
        <f>E229*10%</f>
        <v>1298</v>
      </c>
      <c r="F230" s="170"/>
      <c r="G230" s="232">
        <f>E230</f>
        <v>1298</v>
      </c>
    </row>
    <row r="231" spans="1:7" ht="18">
      <c r="A231" s="226"/>
      <c r="B231" s="169"/>
      <c r="C231" s="170"/>
      <c r="D231" s="277" t="s">
        <v>338</v>
      </c>
      <c r="E231" s="172"/>
      <c r="F231" s="170"/>
      <c r="G231" s="232">
        <f>SUM(G228:G230)</f>
        <v>2441.2303999999999</v>
      </c>
    </row>
    <row r="232" spans="1:7" ht="18">
      <c r="A232" s="226"/>
      <c r="B232" s="169"/>
      <c r="C232" s="170"/>
      <c r="D232" s="272" t="s">
        <v>337</v>
      </c>
      <c r="E232" s="172"/>
      <c r="F232" s="170"/>
      <c r="G232" s="171">
        <f>ROUNDUP(G231/5,0)</f>
        <v>489</v>
      </c>
    </row>
    <row r="233" spans="1:7" ht="18">
      <c r="A233" s="226"/>
      <c r="B233" s="169"/>
      <c r="C233" s="170"/>
      <c r="D233" s="272" t="s">
        <v>336</v>
      </c>
      <c r="E233" s="172"/>
      <c r="F233" s="170"/>
      <c r="G233" s="195"/>
    </row>
    <row r="234" spans="1:7" ht="18">
      <c r="A234" s="226"/>
      <c r="B234" s="169">
        <v>1</v>
      </c>
      <c r="C234" s="170" t="s">
        <v>334</v>
      </c>
      <c r="D234" s="277" t="s">
        <v>335</v>
      </c>
      <c r="E234" s="172">
        <f>G232</f>
        <v>489</v>
      </c>
      <c r="F234" s="170" t="s">
        <v>334</v>
      </c>
      <c r="G234" s="195">
        <f>E234*B234</f>
        <v>489</v>
      </c>
    </row>
    <row r="235" spans="1:7" ht="36">
      <c r="A235" s="226"/>
      <c r="B235" s="169">
        <f>B226</f>
        <v>0.06</v>
      </c>
      <c r="C235" s="170" t="s">
        <v>155</v>
      </c>
      <c r="D235" s="277" t="s">
        <v>333</v>
      </c>
      <c r="E235" s="172">
        <f>G181</f>
        <v>8054.897838599999</v>
      </c>
      <c r="F235" s="170" t="s">
        <v>155</v>
      </c>
      <c r="G235" s="232">
        <f>(B235*E235)</f>
        <v>483.29387031599992</v>
      </c>
    </row>
    <row r="236" spans="1:7" ht="36">
      <c r="A236" s="226"/>
      <c r="B236" s="169" t="s">
        <v>159</v>
      </c>
      <c r="C236" s="170"/>
      <c r="D236" s="277" t="s">
        <v>332</v>
      </c>
      <c r="E236" s="170"/>
      <c r="F236" s="170" t="s">
        <v>159</v>
      </c>
      <c r="G236" s="195">
        <v>28.94</v>
      </c>
    </row>
    <row r="237" spans="1:7" ht="18">
      <c r="A237" s="226"/>
      <c r="B237" s="169"/>
      <c r="C237" s="170"/>
      <c r="D237" s="277" t="s">
        <v>331</v>
      </c>
      <c r="E237" s="170"/>
      <c r="F237" s="170"/>
      <c r="G237" s="195">
        <f>SUM(G234:G236)</f>
        <v>1001.233870316</v>
      </c>
    </row>
    <row r="238" spans="1:7" ht="18">
      <c r="A238" s="226"/>
      <c r="B238" s="169"/>
      <c r="C238" s="170"/>
      <c r="D238" s="272" t="s">
        <v>343</v>
      </c>
      <c r="E238" s="170"/>
      <c r="F238" s="170"/>
      <c r="G238" s="267">
        <f>ROUND(G237/0.6,0)</f>
        <v>1669</v>
      </c>
    </row>
    <row r="239" spans="1:7" ht="306">
      <c r="A239" s="274">
        <f>A221+1</f>
        <v>9</v>
      </c>
      <c r="B239" s="169"/>
      <c r="C239" s="170"/>
      <c r="D239" s="277" t="str">
        <f>'BOQ-C&amp;I'!C48</f>
        <v>Providing Plinth protection with PCC 1:3:6 (1cement, 3 fine aggregate and 6 coarse aggregate) 50mm thick using coarse graded aggregate of 20 mm and downsize, top finished smooth while wet and laid with a nominal slope,  over  a  M.Sand   bed   of 75 mm thick including necessary excavation wherever, necessary form work etc . The end slab shall have 115 mm thick brick retaining walls with CM 1:4 (one cement and four fine aggregate) at the edge 300 mm high.  The exposed faces of wall shall be plastered with cement mortar 1:5 - 15 mm thick. The effective separation of panels not exceeding 10 sqm in plan by making grooves or by using glass or other metals strips etc.and also including for providing necessary form work, excavation, refilling, consolidation  and  compaction of  filled   earth, plastering, pointing, curing and reinforcement as complete in all respects complying with relevant standard specification and as directed by the Engineer-in-charge.</v>
      </c>
      <c r="E239" s="170"/>
      <c r="F239" s="170"/>
      <c r="G239" s="267"/>
    </row>
    <row r="240" spans="1:7" ht="18">
      <c r="A240" s="226"/>
      <c r="B240" s="169">
        <v>1</v>
      </c>
      <c r="C240" s="170" t="s">
        <v>9</v>
      </c>
      <c r="D240" s="277" t="s">
        <v>1876</v>
      </c>
      <c r="E240" s="172">
        <f>'Comparison - Annexure 04'!K78</f>
        <v>950</v>
      </c>
      <c r="F240" s="170" t="s">
        <v>177</v>
      </c>
      <c r="G240" s="171">
        <f>B240*E240</f>
        <v>950</v>
      </c>
    </row>
    <row r="241" spans="1:7" ht="216">
      <c r="A241" s="168">
        <f>A239+1</f>
        <v>10</v>
      </c>
      <c r="B241" s="169"/>
      <c r="C241" s="170"/>
      <c r="D241" s="351" t="str">
        <f>'BOQ-C&amp;I'!C49</f>
        <v>Supplying, fabricating and fixing in position of steel  Fe 550D grade Reinforcement for all RCC work with Thermo Mechanically Treated Bars (TMT) conforming to IS 1786 of latest version according to drawings and binding the reinforcement with 18 gauge double fold GI binding wire and providing Concrete / PVC cover blocks to maintain the cover as required. Rate to include all bending, tying grills, placing, transportation, lead &amp; lifts, tools &amp; plants, fuels, all materials, labour charges, wastages , laying at all levels, fixing in position, cost of cover blocks, etc. as complete with all respects complying with relevant standard specification, as directed by the departmental officers.</v>
      </c>
      <c r="E241" s="170"/>
      <c r="F241" s="170"/>
      <c r="G241" s="195"/>
    </row>
    <row r="242" spans="1:7" ht="18">
      <c r="A242" s="226"/>
      <c r="B242" s="169">
        <v>1</v>
      </c>
      <c r="C242" s="170" t="s">
        <v>329</v>
      </c>
      <c r="D242" s="277" t="s">
        <v>330</v>
      </c>
      <c r="E242" s="172">
        <f>'Lead Statement'!I14/10</f>
        <v>5800</v>
      </c>
      <c r="F242" s="170" t="s">
        <v>329</v>
      </c>
      <c r="G242" s="232">
        <f>(B242*E242)</f>
        <v>5800</v>
      </c>
    </row>
    <row r="243" spans="1:7" ht="18">
      <c r="A243" s="226"/>
      <c r="B243" s="169">
        <v>1</v>
      </c>
      <c r="C243" s="170" t="s">
        <v>162</v>
      </c>
      <c r="D243" s="277" t="s">
        <v>687</v>
      </c>
      <c r="E243" s="172">
        <f>Material!D6</f>
        <v>56.35</v>
      </c>
      <c r="F243" s="170" t="s">
        <v>162</v>
      </c>
      <c r="G243" s="232">
        <f>(B243*E243)</f>
        <v>56.35</v>
      </c>
    </row>
    <row r="244" spans="1:7" ht="18">
      <c r="A244" s="226"/>
      <c r="B244" s="169">
        <v>1.3</v>
      </c>
      <c r="C244" s="170" t="s">
        <v>162</v>
      </c>
      <c r="D244" s="277" t="s">
        <v>1465</v>
      </c>
      <c r="E244" s="172">
        <f>'Lead Statement'!I13/1000</f>
        <v>6.04</v>
      </c>
      <c r="F244" s="170" t="s">
        <v>162</v>
      </c>
      <c r="G244" s="232">
        <f>(B244*E244)</f>
        <v>7.8520000000000003</v>
      </c>
    </row>
    <row r="245" spans="1:7" ht="18">
      <c r="A245" s="226"/>
      <c r="B245" s="169">
        <v>0.25</v>
      </c>
      <c r="C245" s="170" t="s">
        <v>165</v>
      </c>
      <c r="D245" s="277" t="s">
        <v>1466</v>
      </c>
      <c r="E245" s="172">
        <f>Labour!E9</f>
        <v>732</v>
      </c>
      <c r="F245" s="170" t="s">
        <v>165</v>
      </c>
      <c r="G245" s="232">
        <f>(B245*E245)</f>
        <v>183</v>
      </c>
    </row>
    <row r="246" spans="1:7" ht="18">
      <c r="A246" s="226"/>
      <c r="B246" s="169">
        <v>3.5</v>
      </c>
      <c r="C246" s="170" t="s">
        <v>51</v>
      </c>
      <c r="D246" s="277" t="s">
        <v>328</v>
      </c>
      <c r="E246" s="172">
        <f>Labour!E18</f>
        <v>821</v>
      </c>
      <c r="F246" s="170" t="s">
        <v>165</v>
      </c>
      <c r="G246" s="232">
        <f>(B246*E246)</f>
        <v>2873.5</v>
      </c>
    </row>
    <row r="247" spans="1:7" ht="18">
      <c r="A247" s="226"/>
      <c r="B247" s="169"/>
      <c r="C247" s="170"/>
      <c r="D247" s="277" t="s">
        <v>327</v>
      </c>
      <c r="E247" s="170"/>
      <c r="F247" s="170"/>
      <c r="G247" s="232">
        <f>SUM(G242:G246)</f>
        <v>8920.7020000000011</v>
      </c>
    </row>
    <row r="248" spans="1:7" ht="18">
      <c r="A248" s="226"/>
      <c r="B248" s="169"/>
      <c r="C248" s="170"/>
      <c r="D248" s="277" t="s">
        <v>154</v>
      </c>
      <c r="E248" s="170"/>
      <c r="F248" s="170"/>
      <c r="G248" s="232">
        <v>0.8</v>
      </c>
    </row>
    <row r="249" spans="1:7" ht="18">
      <c r="A249" s="226"/>
      <c r="B249" s="169"/>
      <c r="C249" s="170"/>
      <c r="D249" s="277" t="s">
        <v>326</v>
      </c>
      <c r="E249" s="170"/>
      <c r="F249" s="170"/>
      <c r="G249" s="232">
        <f>SUM(G247:G248)</f>
        <v>8921.5020000000004</v>
      </c>
    </row>
    <row r="250" spans="1:7" ht="18">
      <c r="A250" s="226"/>
      <c r="B250" s="169"/>
      <c r="C250" s="170"/>
      <c r="D250" s="272" t="s">
        <v>325</v>
      </c>
      <c r="E250" s="170"/>
      <c r="F250" s="170"/>
      <c r="G250" s="267">
        <f>G249*10</f>
        <v>89215.02</v>
      </c>
    </row>
    <row r="251" spans="1:7" ht="18">
      <c r="A251" s="226"/>
      <c r="B251" s="169"/>
      <c r="C251" s="170"/>
      <c r="D251" s="272"/>
      <c r="E251" s="170"/>
      <c r="F251" s="170"/>
      <c r="G251" s="267"/>
    </row>
    <row r="252" spans="1:7" ht="18">
      <c r="A252" s="226"/>
      <c r="B252" s="169"/>
      <c r="C252" s="170"/>
      <c r="D252" s="272" t="s">
        <v>324</v>
      </c>
      <c r="E252" s="170"/>
      <c r="F252" s="170"/>
      <c r="G252" s="267"/>
    </row>
    <row r="253" spans="1:7" ht="216">
      <c r="A253" s="168">
        <f>A241+1</f>
        <v>11</v>
      </c>
      <c r="B253" s="169" t="s">
        <v>144</v>
      </c>
      <c r="C253" s="170" t="s">
        <v>144</v>
      </c>
      <c r="D253" s="351" t="str">
        <f>'BOQ-C&amp;I'!C52</f>
        <v>Supplying and erecting centering for sides and soffits including supports and strutting up to 3.30 m height with all cross bracing for plane surfaces as detailed below, using mild steel sheets of 90 X 60 cm 10 gauge stiffened with MS angle of 25 X 25 X 3mm for boarding, laid over adjustable span &amp; jacks and supported by 50mm dia pipes for general pipes scaffolding systems @ a spacing of 1.20m c/c and vertical connected at a height of 2.0m c/c including 'C' &amp; 'U' clamps and base receiver cup at bottom for connecting pipes etc and removable systems etc...as complete with all respects complying with relevant standard specification, as directed by the departmental officers/ Consultant.</v>
      </c>
      <c r="E253" s="170" t="s">
        <v>144</v>
      </c>
      <c r="F253" s="170"/>
      <c r="G253" s="195"/>
    </row>
    <row r="254" spans="1:7" s="357" customFormat="1" ht="108">
      <c r="A254" s="226"/>
      <c r="B254" s="169"/>
      <c r="C254" s="170"/>
      <c r="D254" s="277" t="s">
        <v>323</v>
      </c>
      <c r="E254" s="170"/>
      <c r="F254" s="170"/>
      <c r="G254" s="195"/>
    </row>
    <row r="255" spans="1:7" s="357" customFormat="1" ht="36">
      <c r="A255" s="226"/>
      <c r="B255" s="169">
        <v>13.46</v>
      </c>
      <c r="C255" s="170" t="s">
        <v>209</v>
      </c>
      <c r="D255" s="277" t="s">
        <v>702</v>
      </c>
      <c r="E255" s="172">
        <f>Material!D17*1000</f>
        <v>53000</v>
      </c>
      <c r="F255" s="170" t="s">
        <v>131</v>
      </c>
      <c r="G255" s="195">
        <f>B255*E255/1000</f>
        <v>713.38</v>
      </c>
    </row>
    <row r="256" spans="1:7" s="357" customFormat="1" ht="18">
      <c r="A256" s="226"/>
      <c r="B256" s="169">
        <v>4</v>
      </c>
      <c r="C256" s="170" t="s">
        <v>209</v>
      </c>
      <c r="D256" s="277" t="s">
        <v>703</v>
      </c>
      <c r="E256" s="172">
        <f>Material!D18*1000</f>
        <v>53000</v>
      </c>
      <c r="F256" s="170" t="s">
        <v>131</v>
      </c>
      <c r="G256" s="195">
        <f>B256*E256/1000</f>
        <v>212</v>
      </c>
    </row>
    <row r="257" spans="1:7" s="357" customFormat="1" ht="18">
      <c r="A257" s="226"/>
      <c r="B257" s="169"/>
      <c r="C257" s="170"/>
      <c r="D257" s="277" t="s">
        <v>322</v>
      </c>
      <c r="E257" s="172" t="s">
        <v>159</v>
      </c>
      <c r="F257" s="170"/>
      <c r="G257" s="195">
        <v>12.62</v>
      </c>
    </row>
    <row r="258" spans="1:7" ht="18">
      <c r="A258" s="226"/>
      <c r="B258" s="169"/>
      <c r="C258" s="170"/>
      <c r="D258" s="272" t="s">
        <v>321</v>
      </c>
      <c r="E258" s="172"/>
      <c r="F258" s="170"/>
      <c r="G258" s="267">
        <f>SUM(G255:G257)</f>
        <v>938</v>
      </c>
    </row>
    <row r="259" spans="1:7" s="357" customFormat="1" ht="18">
      <c r="A259" s="226"/>
      <c r="B259" s="169"/>
      <c r="C259" s="170"/>
      <c r="D259" s="361"/>
      <c r="E259" s="172"/>
      <c r="F259" s="170"/>
      <c r="G259" s="171"/>
    </row>
    <row r="260" spans="1:7" s="357" customFormat="1" ht="18">
      <c r="A260" s="226"/>
      <c r="B260" s="169"/>
      <c r="C260" s="170"/>
      <c r="D260" s="272" t="s">
        <v>320</v>
      </c>
      <c r="E260" s="172"/>
      <c r="F260" s="170"/>
      <c r="G260" s="195"/>
    </row>
    <row r="261" spans="1:7" s="357" customFormat="1" ht="18">
      <c r="A261" s="226"/>
      <c r="B261" s="169">
        <v>19</v>
      </c>
      <c r="C261" s="170" t="s">
        <v>311</v>
      </c>
      <c r="D261" s="277" t="s">
        <v>319</v>
      </c>
      <c r="E261" s="172">
        <f>G258</f>
        <v>938</v>
      </c>
      <c r="F261" s="170" t="s">
        <v>165</v>
      </c>
      <c r="G261" s="195">
        <f>E261*B261</f>
        <v>17822</v>
      </c>
    </row>
    <row r="262" spans="1:7" s="357" customFormat="1" ht="18">
      <c r="A262" s="226"/>
      <c r="B262" s="169"/>
      <c r="C262" s="170"/>
      <c r="D262" s="272" t="s">
        <v>293</v>
      </c>
      <c r="E262" s="172"/>
      <c r="F262" s="170"/>
      <c r="G262" s="195">
        <f>G261/40</f>
        <v>445.55</v>
      </c>
    </row>
    <row r="263" spans="1:7" s="357" customFormat="1" ht="18">
      <c r="A263" s="226"/>
      <c r="B263" s="169"/>
      <c r="C263" s="170"/>
      <c r="D263" s="272"/>
      <c r="E263" s="172"/>
      <c r="F263" s="170"/>
      <c r="G263" s="195"/>
    </row>
    <row r="264" spans="1:7" s="357" customFormat="1" ht="18">
      <c r="A264" s="226"/>
      <c r="B264" s="169"/>
      <c r="C264" s="170"/>
      <c r="D264" s="272" t="s">
        <v>318</v>
      </c>
      <c r="E264" s="172"/>
      <c r="F264" s="170"/>
      <c r="G264" s="195"/>
    </row>
    <row r="265" spans="1:7" s="357" customFormat="1" ht="18">
      <c r="A265" s="226"/>
      <c r="B265" s="169">
        <v>0.12</v>
      </c>
      <c r="C265" s="170" t="s">
        <v>52</v>
      </c>
      <c r="D265" s="277" t="s">
        <v>317</v>
      </c>
      <c r="E265" s="172">
        <f>Material!D19</f>
        <v>15500</v>
      </c>
      <c r="F265" s="170" t="s">
        <v>52</v>
      </c>
      <c r="G265" s="195">
        <f>E265*B265</f>
        <v>1860</v>
      </c>
    </row>
    <row r="266" spans="1:7" s="357" customFormat="1" ht="18">
      <c r="A266" s="226"/>
      <c r="B266" s="169">
        <v>98.5</v>
      </c>
      <c r="C266" s="170" t="s">
        <v>33</v>
      </c>
      <c r="D266" s="277" t="s">
        <v>294</v>
      </c>
      <c r="E266" s="172">
        <f>Material!D20</f>
        <v>25.2</v>
      </c>
      <c r="F266" s="170" t="s">
        <v>33</v>
      </c>
      <c r="G266" s="195">
        <f>E266*B266</f>
        <v>2482.1999999999998</v>
      </c>
    </row>
    <row r="267" spans="1:7" s="357" customFormat="1" ht="18">
      <c r="A267" s="226"/>
      <c r="B267" s="169"/>
      <c r="C267" s="170"/>
      <c r="D267" s="277" t="s">
        <v>316</v>
      </c>
      <c r="E267" s="172"/>
      <c r="F267" s="170"/>
      <c r="G267" s="195">
        <f>SUM(G265:G266)</f>
        <v>4342.2</v>
      </c>
    </row>
    <row r="268" spans="1:7" ht="18">
      <c r="A268" s="226"/>
      <c r="B268" s="169"/>
      <c r="C268" s="170"/>
      <c r="D268" s="272" t="s">
        <v>293</v>
      </c>
      <c r="E268" s="172"/>
      <c r="F268" s="170"/>
      <c r="G268" s="267">
        <f>G267/5</f>
        <v>868.43999999999994</v>
      </c>
    </row>
    <row r="269" spans="1:7" s="357" customFormat="1" ht="18">
      <c r="A269" s="226"/>
      <c r="B269" s="169"/>
      <c r="C269" s="170"/>
      <c r="D269" s="362"/>
      <c r="E269" s="172"/>
      <c r="F269" s="170"/>
      <c r="G269" s="195"/>
    </row>
    <row r="270" spans="1:7" s="357" customFormat="1" ht="54">
      <c r="A270" s="226" t="s">
        <v>71</v>
      </c>
      <c r="B270" s="169"/>
      <c r="C270" s="170"/>
      <c r="D270" s="273" t="str">
        <f>'BOQ-C&amp;I'!C53</f>
        <v xml:space="preserve">Reinforced cement concrete Column footing, plinth / grade beam, bed blocks, template surfaces, steps, piers, pile cap, raft slab / beams, RC Binders and such other members </v>
      </c>
      <c r="E270" s="172"/>
      <c r="F270" s="170"/>
      <c r="G270" s="195"/>
    </row>
    <row r="271" spans="1:7" s="357" customFormat="1" ht="18">
      <c r="A271" s="226"/>
      <c r="B271" s="169">
        <v>19.7</v>
      </c>
      <c r="C271" s="170" t="s">
        <v>33</v>
      </c>
      <c r="D271" s="277" t="s">
        <v>294</v>
      </c>
      <c r="E271" s="172">
        <f>+E266</f>
        <v>25.2</v>
      </c>
      <c r="F271" s="170" t="s">
        <v>33</v>
      </c>
      <c r="G271" s="195">
        <f>E271*B271</f>
        <v>496.43999999999994</v>
      </c>
    </row>
    <row r="272" spans="1:7" s="357" customFormat="1" ht="18">
      <c r="A272" s="226"/>
      <c r="B272" s="169">
        <v>0.3</v>
      </c>
      <c r="C272" s="170" t="s">
        <v>51</v>
      </c>
      <c r="D272" s="277" t="s">
        <v>292</v>
      </c>
      <c r="E272" s="172">
        <f>Labour!E14</f>
        <v>926</v>
      </c>
      <c r="F272" s="170" t="s">
        <v>165</v>
      </c>
      <c r="G272" s="195">
        <f>E272*B272</f>
        <v>277.8</v>
      </c>
    </row>
    <row r="273" spans="1:7" s="357" customFormat="1" ht="18">
      <c r="A273" s="226"/>
      <c r="B273" s="169">
        <v>0.3</v>
      </c>
      <c r="C273" s="170" t="s">
        <v>51</v>
      </c>
      <c r="D273" s="277" t="s">
        <v>291</v>
      </c>
      <c r="E273" s="172">
        <f>Labour!E6</f>
        <v>618</v>
      </c>
      <c r="F273" s="170" t="s">
        <v>165</v>
      </c>
      <c r="G273" s="195">
        <f>E273*B273</f>
        <v>185.4</v>
      </c>
    </row>
    <row r="274" spans="1:7" s="357" customFormat="1" ht="18">
      <c r="A274" s="226"/>
      <c r="B274" s="169"/>
      <c r="C274" s="170" t="s">
        <v>159</v>
      </c>
      <c r="D274" s="277" t="s">
        <v>289</v>
      </c>
      <c r="E274" s="172"/>
      <c r="F274" s="170" t="s">
        <v>288</v>
      </c>
      <c r="G274" s="195">
        <v>2.04</v>
      </c>
    </row>
    <row r="275" spans="1:7" s="357" customFormat="1" ht="18">
      <c r="A275" s="226"/>
      <c r="B275" s="169"/>
      <c r="C275" s="170"/>
      <c r="D275" s="277" t="s">
        <v>305</v>
      </c>
      <c r="E275" s="172"/>
      <c r="F275" s="170"/>
      <c r="G275" s="195">
        <f>SUM(G271:G274)</f>
        <v>961.68</v>
      </c>
    </row>
    <row r="276" spans="1:7" ht="18">
      <c r="A276" s="226"/>
      <c r="B276" s="169"/>
      <c r="C276" s="170"/>
      <c r="D276" s="272" t="s">
        <v>295</v>
      </c>
      <c r="E276" s="172"/>
      <c r="F276" s="170"/>
      <c r="G276" s="267">
        <f>G275/10</f>
        <v>96.167999999999992</v>
      </c>
    </row>
    <row r="277" spans="1:7" s="357" customFormat="1" ht="18">
      <c r="A277" s="226"/>
      <c r="B277" s="169"/>
      <c r="C277" s="170"/>
      <c r="D277" s="361" t="s">
        <v>315</v>
      </c>
      <c r="E277" s="172"/>
      <c r="F277" s="170"/>
      <c r="G277" s="195"/>
    </row>
    <row r="278" spans="1:7" s="357" customFormat="1" ht="18">
      <c r="A278" s="226"/>
      <c r="B278" s="169">
        <v>10</v>
      </c>
      <c r="C278" s="170" t="s">
        <v>177</v>
      </c>
      <c r="D278" s="362" t="s">
        <v>300</v>
      </c>
      <c r="E278" s="172">
        <f>G294</f>
        <v>908.29300000000001</v>
      </c>
      <c r="F278" s="170" t="s">
        <v>177</v>
      </c>
      <c r="G278" s="195">
        <f>E278*B278</f>
        <v>9082.93</v>
      </c>
    </row>
    <row r="279" spans="1:7" s="357" customFormat="1" ht="18">
      <c r="A279" s="226"/>
      <c r="B279" s="169">
        <v>10</v>
      </c>
      <c r="C279" s="170" t="s">
        <v>177</v>
      </c>
      <c r="D279" s="362" t="s">
        <v>314</v>
      </c>
      <c r="E279" s="172">
        <f>-G276</f>
        <v>-96.167999999999992</v>
      </c>
      <c r="F279" s="170" t="s">
        <v>177</v>
      </c>
      <c r="G279" s="195">
        <f>E279*B279</f>
        <v>-961.68</v>
      </c>
    </row>
    <row r="280" spans="1:7" s="357" customFormat="1" ht="18">
      <c r="A280" s="226"/>
      <c r="B280" s="169"/>
      <c r="C280" s="170"/>
      <c r="D280" s="362" t="s">
        <v>296</v>
      </c>
      <c r="E280" s="172"/>
      <c r="F280" s="170" t="s">
        <v>159</v>
      </c>
      <c r="G280" s="195">
        <v>2.12</v>
      </c>
    </row>
    <row r="281" spans="1:7" s="357" customFormat="1" ht="18">
      <c r="A281" s="226"/>
      <c r="B281" s="169"/>
      <c r="C281" s="170"/>
      <c r="D281" s="362" t="s">
        <v>297</v>
      </c>
      <c r="E281" s="172"/>
      <c r="F281" s="170"/>
      <c r="G281" s="195">
        <f>SUM(G278:G280)</f>
        <v>8123.37</v>
      </c>
    </row>
    <row r="282" spans="1:7" s="357" customFormat="1" ht="18">
      <c r="A282" s="226"/>
      <c r="B282" s="169"/>
      <c r="C282" s="170"/>
      <c r="D282" s="272" t="s">
        <v>295</v>
      </c>
      <c r="E282" s="172"/>
      <c r="F282" s="170"/>
      <c r="G282" s="171">
        <f>G281/10</f>
        <v>812.33699999999999</v>
      </c>
    </row>
    <row r="283" spans="1:7" s="357" customFormat="1" ht="18">
      <c r="A283" s="226"/>
      <c r="B283" s="169"/>
      <c r="C283" s="170"/>
      <c r="D283" s="272"/>
      <c r="E283" s="172"/>
      <c r="F283" s="170"/>
      <c r="G283" s="171"/>
    </row>
    <row r="284" spans="1:7" s="357" customFormat="1" ht="54">
      <c r="A284" s="226" t="s">
        <v>70</v>
      </c>
      <c r="B284" s="169"/>
      <c r="C284" s="170"/>
      <c r="D284" s="273" t="str">
        <f>'BOQ-C&amp;I'!C54</f>
        <v>Plane surfaces such as RCC floor slab, roof slab, flat slab, drop panel, beams, lintels, bed blocks, landing slab, waist slab, portico slab / beams and such other members</v>
      </c>
      <c r="E284" s="172"/>
      <c r="F284" s="170"/>
      <c r="G284" s="195"/>
    </row>
    <row r="285" spans="1:7" s="357" customFormat="1" ht="18">
      <c r="A285" s="226"/>
      <c r="B285" s="169"/>
      <c r="C285" s="170"/>
      <c r="D285" s="272" t="s">
        <v>313</v>
      </c>
      <c r="E285" s="172"/>
      <c r="F285" s="170"/>
      <c r="G285" s="195"/>
    </row>
    <row r="286" spans="1:7" s="357" customFormat="1" ht="18">
      <c r="A286" s="226"/>
      <c r="B286" s="169">
        <v>1</v>
      </c>
      <c r="C286" s="170" t="s">
        <v>311</v>
      </c>
      <c r="D286" s="277" t="s">
        <v>312</v>
      </c>
      <c r="E286" s="172">
        <f>G262</f>
        <v>445.55</v>
      </c>
      <c r="F286" s="170" t="s">
        <v>311</v>
      </c>
      <c r="G286" s="195">
        <f>E286*B286</f>
        <v>445.55</v>
      </c>
    </row>
    <row r="287" spans="1:7" s="357" customFormat="1" ht="18">
      <c r="A287" s="226"/>
      <c r="B287" s="169">
        <v>1</v>
      </c>
      <c r="C287" s="170" t="s">
        <v>309</v>
      </c>
      <c r="D287" s="277" t="s">
        <v>310</v>
      </c>
      <c r="E287" s="172">
        <f>G268</f>
        <v>868.43999999999994</v>
      </c>
      <c r="F287" s="170" t="s">
        <v>309</v>
      </c>
      <c r="G287" s="195">
        <f>E287*B287</f>
        <v>868.43999999999994</v>
      </c>
    </row>
    <row r="288" spans="1:7" s="357" customFormat="1" ht="18">
      <c r="A288" s="226"/>
      <c r="B288" s="169">
        <v>3.8</v>
      </c>
      <c r="C288" s="170" t="s">
        <v>51</v>
      </c>
      <c r="D288" s="277" t="s">
        <v>292</v>
      </c>
      <c r="E288" s="172">
        <f>Labour!E14</f>
        <v>926</v>
      </c>
      <c r="F288" s="170" t="s">
        <v>290</v>
      </c>
      <c r="G288" s="195">
        <f>E288*B288</f>
        <v>3518.7999999999997</v>
      </c>
    </row>
    <row r="289" spans="1:7" s="357" customFormat="1" ht="18">
      <c r="A289" s="226"/>
      <c r="B289" s="169">
        <v>5.4</v>
      </c>
      <c r="C289" s="170" t="s">
        <v>51</v>
      </c>
      <c r="D289" s="277" t="s">
        <v>291</v>
      </c>
      <c r="E289" s="172">
        <f>Labour!E6</f>
        <v>618</v>
      </c>
      <c r="F289" s="170" t="s">
        <v>290</v>
      </c>
      <c r="G289" s="195">
        <f>E289*B289</f>
        <v>3337.2000000000003</v>
      </c>
    </row>
    <row r="290" spans="1:7" s="357" customFormat="1" ht="18">
      <c r="A290" s="226"/>
      <c r="B290" s="169">
        <v>1</v>
      </c>
      <c r="C290" s="170" t="s">
        <v>51</v>
      </c>
      <c r="D290" s="277" t="s">
        <v>308</v>
      </c>
      <c r="E290" s="172">
        <f>Labour!E13</f>
        <v>812</v>
      </c>
      <c r="F290" s="170" t="s">
        <v>290</v>
      </c>
      <c r="G290" s="195">
        <f>E290*B290</f>
        <v>812</v>
      </c>
    </row>
    <row r="291" spans="1:7" s="357" customFormat="1" ht="18">
      <c r="A291" s="226"/>
      <c r="B291" s="169"/>
      <c r="C291" s="170" t="s">
        <v>159</v>
      </c>
      <c r="D291" s="277" t="s">
        <v>307</v>
      </c>
      <c r="E291" s="172"/>
      <c r="F291" s="170" t="s">
        <v>159</v>
      </c>
      <c r="G291" s="195">
        <v>76</v>
      </c>
    </row>
    <row r="292" spans="1:7" s="357" customFormat="1" ht="36">
      <c r="A292" s="226"/>
      <c r="B292" s="169"/>
      <c r="C292" s="170" t="s">
        <v>159</v>
      </c>
      <c r="D292" s="277" t="s">
        <v>306</v>
      </c>
      <c r="E292" s="172"/>
      <c r="F292" s="170" t="s">
        <v>159</v>
      </c>
      <c r="G292" s="195">
        <v>24.94</v>
      </c>
    </row>
    <row r="293" spans="1:7" s="357" customFormat="1" ht="18">
      <c r="A293" s="226"/>
      <c r="B293" s="169"/>
      <c r="C293" s="170"/>
      <c r="D293" s="277" t="s">
        <v>305</v>
      </c>
      <c r="E293" s="172"/>
      <c r="F293" s="170"/>
      <c r="G293" s="195">
        <f>SUM(G286:G292)</f>
        <v>9082.93</v>
      </c>
    </row>
    <row r="294" spans="1:7" ht="18">
      <c r="A294" s="226"/>
      <c r="B294" s="169"/>
      <c r="C294" s="170"/>
      <c r="D294" s="272" t="s">
        <v>295</v>
      </c>
      <c r="E294" s="172"/>
      <c r="F294" s="170"/>
      <c r="G294" s="267">
        <f>+G293/10</f>
        <v>908.29300000000001</v>
      </c>
    </row>
    <row r="295" spans="1:7" s="357" customFormat="1" ht="18">
      <c r="A295" s="226"/>
      <c r="B295" s="169"/>
      <c r="C295" s="170"/>
      <c r="D295" s="362" t="s">
        <v>296</v>
      </c>
      <c r="E295" s="172"/>
      <c r="F295" s="170"/>
      <c r="G295" s="171">
        <v>0.37</v>
      </c>
    </row>
    <row r="296" spans="1:7" s="357" customFormat="1" ht="18">
      <c r="A296" s="226"/>
      <c r="B296" s="169"/>
      <c r="C296" s="170"/>
      <c r="D296" s="272" t="s">
        <v>295</v>
      </c>
      <c r="E296" s="172"/>
      <c r="F296" s="170"/>
      <c r="G296" s="171">
        <f>+G295+G294</f>
        <v>908.66300000000001</v>
      </c>
    </row>
    <row r="297" spans="1:7" s="357" customFormat="1" ht="18">
      <c r="A297" s="226"/>
      <c r="B297" s="169"/>
      <c r="C297" s="170"/>
      <c r="D297" s="362"/>
      <c r="E297" s="172"/>
      <c r="F297" s="170"/>
      <c r="G297" s="195"/>
    </row>
    <row r="298" spans="1:7" s="357" customFormat="1" ht="54">
      <c r="A298" s="226" t="s">
        <v>69</v>
      </c>
      <c r="B298" s="169"/>
      <c r="C298" s="170"/>
      <c r="D298" s="273" t="str">
        <f>'BOQ-C&amp;I'!C55</f>
        <v>For plane surfaces such as rectangular, square columns and chamfered sunshades, top and bottom slab of boxing, kitchen platform, loft and such other structural members</v>
      </c>
      <c r="E298" s="172"/>
      <c r="F298" s="170"/>
      <c r="G298" s="195"/>
    </row>
    <row r="299" spans="1:7" s="357" customFormat="1" ht="18">
      <c r="A299" s="226"/>
      <c r="B299" s="169">
        <v>10</v>
      </c>
      <c r="C299" s="170" t="s">
        <v>177</v>
      </c>
      <c r="D299" s="362" t="s">
        <v>300</v>
      </c>
      <c r="E299" s="172">
        <f>+G296</f>
        <v>908.66300000000001</v>
      </c>
      <c r="F299" s="170" t="s">
        <v>177</v>
      </c>
      <c r="G299" s="195">
        <f>E299*B299</f>
        <v>9086.630000000001</v>
      </c>
    </row>
    <row r="300" spans="1:7" s="357" customFormat="1" ht="18">
      <c r="A300" s="226"/>
      <c r="B300" s="363">
        <v>0.2</v>
      </c>
      <c r="C300" s="170" t="s">
        <v>177</v>
      </c>
      <c r="D300" s="277" t="s">
        <v>304</v>
      </c>
      <c r="E300" s="172">
        <f>G299</f>
        <v>9086.630000000001</v>
      </c>
      <c r="F300" s="170" t="s">
        <v>246</v>
      </c>
      <c r="G300" s="195">
        <f>E300*B300</f>
        <v>1817.3260000000002</v>
      </c>
    </row>
    <row r="301" spans="1:7" s="357" customFormat="1" ht="18">
      <c r="A301" s="226"/>
      <c r="B301" s="169"/>
      <c r="C301" s="170"/>
      <c r="D301" s="362" t="s">
        <v>297</v>
      </c>
      <c r="E301" s="172"/>
      <c r="F301" s="170"/>
      <c r="G301" s="195">
        <f>SUM(G299:G300)</f>
        <v>10903.956000000002</v>
      </c>
    </row>
    <row r="302" spans="1:7" s="357" customFormat="1" ht="18">
      <c r="A302" s="226"/>
      <c r="B302" s="169"/>
      <c r="C302" s="170"/>
      <c r="D302" s="272" t="s">
        <v>295</v>
      </c>
      <c r="E302" s="172"/>
      <c r="F302" s="170"/>
      <c r="G302" s="171">
        <f>G301/10</f>
        <v>1090.3956000000003</v>
      </c>
    </row>
    <row r="303" spans="1:7" s="357" customFormat="1" ht="18">
      <c r="A303" s="226"/>
      <c r="B303" s="169"/>
      <c r="C303" s="170"/>
      <c r="D303" s="362" t="s">
        <v>296</v>
      </c>
      <c r="E303" s="172"/>
      <c r="F303" s="170"/>
      <c r="G303" s="171">
        <v>0.6</v>
      </c>
    </row>
    <row r="304" spans="1:7" s="357" customFormat="1" ht="18">
      <c r="A304" s="226"/>
      <c r="B304" s="169"/>
      <c r="C304" s="170"/>
      <c r="D304" s="272" t="s">
        <v>295</v>
      </c>
      <c r="E304" s="172"/>
      <c r="F304" s="170"/>
      <c r="G304" s="171">
        <f>G302+G303</f>
        <v>1090.9956000000002</v>
      </c>
    </row>
    <row r="305" spans="1:7" s="357" customFormat="1" ht="18">
      <c r="A305" s="226"/>
      <c r="B305" s="169"/>
      <c r="C305" s="170"/>
      <c r="D305" s="362"/>
      <c r="E305" s="172"/>
      <c r="F305" s="170"/>
      <c r="G305" s="195"/>
    </row>
    <row r="306" spans="1:7" s="357" customFormat="1" ht="72">
      <c r="A306" s="226" t="s">
        <v>68</v>
      </c>
      <c r="B306" s="169"/>
      <c r="C306" s="170"/>
      <c r="D306" s="273" t="str">
        <f>'BOQ-C&amp;I'!C56</f>
        <v>Vertical surfaces - For all type of walls (any thickness) including, retaining wall, core walls, shear wall, parapet wall, fins, facia, kerb and median etc... for all floors &amp; levels.</v>
      </c>
      <c r="E306" s="172"/>
      <c r="F306" s="170"/>
      <c r="G306" s="195"/>
    </row>
    <row r="307" spans="1:7" s="357" customFormat="1" ht="18">
      <c r="A307" s="226"/>
      <c r="B307" s="169">
        <v>10</v>
      </c>
      <c r="C307" s="170" t="s">
        <v>177</v>
      </c>
      <c r="D307" s="362" t="s">
        <v>300</v>
      </c>
      <c r="E307" s="172">
        <f>+G296</f>
        <v>908.66300000000001</v>
      </c>
      <c r="F307" s="170" t="s">
        <v>177</v>
      </c>
      <c r="G307" s="195">
        <f>E307*B307</f>
        <v>9086.630000000001</v>
      </c>
    </row>
    <row r="308" spans="1:7" s="357" customFormat="1" ht="18">
      <c r="A308" s="226"/>
      <c r="B308" s="363">
        <v>0.1</v>
      </c>
      <c r="C308" s="170" t="s">
        <v>177</v>
      </c>
      <c r="D308" s="277" t="s">
        <v>303</v>
      </c>
      <c r="E308" s="172">
        <f>G307</f>
        <v>9086.630000000001</v>
      </c>
      <c r="F308" s="170" t="s">
        <v>246</v>
      </c>
      <c r="G308" s="195">
        <f>E308*B308</f>
        <v>908.66300000000012</v>
      </c>
    </row>
    <row r="309" spans="1:7" s="357" customFormat="1" ht="18">
      <c r="A309" s="226"/>
      <c r="B309" s="169"/>
      <c r="C309" s="170"/>
      <c r="D309" s="362" t="s">
        <v>297</v>
      </c>
      <c r="E309" s="172"/>
      <c r="F309" s="170"/>
      <c r="G309" s="195">
        <f>SUM(G307:G308)</f>
        <v>9995.2930000000015</v>
      </c>
    </row>
    <row r="310" spans="1:7" s="357" customFormat="1" ht="18">
      <c r="A310" s="226"/>
      <c r="B310" s="169"/>
      <c r="C310" s="170"/>
      <c r="D310" s="272" t="s">
        <v>295</v>
      </c>
      <c r="E310" s="172"/>
      <c r="F310" s="170"/>
      <c r="G310" s="171">
        <f>G309/10</f>
        <v>999.52930000000015</v>
      </c>
    </row>
    <row r="311" spans="1:7" s="357" customFormat="1" ht="18">
      <c r="A311" s="226"/>
      <c r="B311" s="169"/>
      <c r="C311" s="170"/>
      <c r="D311" s="362" t="s">
        <v>296</v>
      </c>
      <c r="E311" s="172"/>
      <c r="F311" s="170"/>
      <c r="G311" s="171">
        <v>0.3</v>
      </c>
    </row>
    <row r="312" spans="1:7" s="357" customFormat="1" ht="18">
      <c r="A312" s="226"/>
      <c r="B312" s="169"/>
      <c r="C312" s="170"/>
      <c r="D312" s="272" t="s">
        <v>295</v>
      </c>
      <c r="E312" s="172"/>
      <c r="F312" s="170"/>
      <c r="G312" s="171">
        <f>G310+G311</f>
        <v>999.8293000000001</v>
      </c>
    </row>
    <row r="313" spans="1:7" s="357" customFormat="1" ht="18">
      <c r="A313" s="226"/>
      <c r="B313" s="169"/>
      <c r="C313" s="170"/>
      <c r="D313" s="272"/>
      <c r="E313" s="172"/>
      <c r="F313" s="170"/>
      <c r="G313" s="171"/>
    </row>
    <row r="314" spans="1:7" s="357" customFormat="1" ht="72">
      <c r="A314" s="226" t="s">
        <v>67</v>
      </c>
      <c r="B314" s="169"/>
      <c r="C314" s="170"/>
      <c r="D314" s="273" t="str">
        <f>'BOQ-C&amp;I'!C57</f>
        <v>Curved surfaces such as  RC walls, sides and bottom of any curved beam, sides of curved slab, lintel, curved sunshade,  ramp of any curved shapes and curved slab bottom and sides in elevation features and structures .</v>
      </c>
      <c r="E314" s="172"/>
      <c r="F314" s="170"/>
      <c r="G314" s="195"/>
    </row>
    <row r="315" spans="1:7" s="357" customFormat="1" ht="18">
      <c r="A315" s="226"/>
      <c r="B315" s="169">
        <v>10</v>
      </c>
      <c r="C315" s="170" t="s">
        <v>177</v>
      </c>
      <c r="D315" s="362" t="s">
        <v>300</v>
      </c>
      <c r="E315" s="172">
        <f>+G296</f>
        <v>908.66300000000001</v>
      </c>
      <c r="F315" s="170" t="s">
        <v>177</v>
      </c>
      <c r="G315" s="195">
        <f>E315*B315</f>
        <v>9086.630000000001</v>
      </c>
    </row>
    <row r="316" spans="1:7" s="357" customFormat="1" ht="18">
      <c r="A316" s="226"/>
      <c r="B316" s="363">
        <v>0.5</v>
      </c>
      <c r="C316" s="170" t="s">
        <v>298</v>
      </c>
      <c r="D316" s="277" t="s">
        <v>302</v>
      </c>
      <c r="E316" s="172">
        <f>G315</f>
        <v>9086.630000000001</v>
      </c>
      <c r="F316" s="170" t="s">
        <v>298</v>
      </c>
      <c r="G316" s="195">
        <f>E316*B316</f>
        <v>4543.3150000000005</v>
      </c>
    </row>
    <row r="317" spans="1:7" s="357" customFormat="1" ht="18">
      <c r="A317" s="226"/>
      <c r="B317" s="169"/>
      <c r="C317" s="170"/>
      <c r="D317" s="362" t="s">
        <v>297</v>
      </c>
      <c r="E317" s="172"/>
      <c r="F317" s="170"/>
      <c r="G317" s="195">
        <f>SUM(G315:G316)</f>
        <v>13629.945000000002</v>
      </c>
    </row>
    <row r="318" spans="1:7" s="357" customFormat="1" ht="18">
      <c r="A318" s="226"/>
      <c r="B318" s="169"/>
      <c r="C318" s="170"/>
      <c r="D318" s="272" t="s">
        <v>295</v>
      </c>
      <c r="E318" s="172"/>
      <c r="F318" s="170"/>
      <c r="G318" s="171">
        <f>G317/10</f>
        <v>1362.9945000000002</v>
      </c>
    </row>
    <row r="319" spans="1:7" s="357" customFormat="1" ht="18">
      <c r="A319" s="226"/>
      <c r="B319" s="169"/>
      <c r="C319" s="170"/>
      <c r="D319" s="362" t="s">
        <v>296</v>
      </c>
      <c r="E319" s="172"/>
      <c r="F319" s="170"/>
      <c r="G319" s="171"/>
    </row>
    <row r="320" spans="1:7" s="357" customFormat="1" ht="18">
      <c r="A320" s="226"/>
      <c r="B320" s="169"/>
      <c r="C320" s="170"/>
      <c r="D320" s="272" t="s">
        <v>295</v>
      </c>
      <c r="E320" s="172"/>
      <c r="F320" s="170"/>
      <c r="G320" s="171">
        <f>G318+G319</f>
        <v>1362.9945000000002</v>
      </c>
    </row>
    <row r="321" spans="1:7" s="357" customFormat="1" ht="18">
      <c r="A321" s="226"/>
      <c r="B321" s="169"/>
      <c r="C321" s="170"/>
      <c r="D321" s="272"/>
      <c r="E321" s="172"/>
      <c r="F321" s="170"/>
      <c r="G321" s="171"/>
    </row>
    <row r="322" spans="1:7" s="357" customFormat="1" ht="18">
      <c r="A322" s="226" t="s">
        <v>124</v>
      </c>
      <c r="B322" s="169"/>
      <c r="C322" s="170"/>
      <c r="D322" s="272" t="s">
        <v>301</v>
      </c>
      <c r="E322" s="172"/>
      <c r="F322" s="170"/>
      <c r="G322" s="195"/>
    </row>
    <row r="323" spans="1:7" s="357" customFormat="1" ht="18">
      <c r="A323" s="226"/>
      <c r="B323" s="169">
        <v>10</v>
      </c>
      <c r="C323" s="170" t="s">
        <v>177</v>
      </c>
      <c r="D323" s="362" t="s">
        <v>300</v>
      </c>
      <c r="E323" s="172">
        <f>+E315</f>
        <v>908.66300000000001</v>
      </c>
      <c r="F323" s="170" t="s">
        <v>177</v>
      </c>
      <c r="G323" s="195">
        <f>E323*B323</f>
        <v>9086.630000000001</v>
      </c>
    </row>
    <row r="324" spans="1:7" s="357" customFormat="1" ht="18">
      <c r="A324" s="226"/>
      <c r="B324" s="363">
        <v>1</v>
      </c>
      <c r="C324" s="170" t="s">
        <v>177</v>
      </c>
      <c r="D324" s="277" t="s">
        <v>299</v>
      </c>
      <c r="E324" s="172">
        <f>G323</f>
        <v>9086.630000000001</v>
      </c>
      <c r="F324" s="170" t="s">
        <v>298</v>
      </c>
      <c r="G324" s="195">
        <f>E324*B324</f>
        <v>9086.630000000001</v>
      </c>
    </row>
    <row r="325" spans="1:7" s="357" customFormat="1" ht="18">
      <c r="A325" s="226"/>
      <c r="B325" s="169"/>
      <c r="C325" s="170"/>
      <c r="D325" s="362" t="s">
        <v>297</v>
      </c>
      <c r="E325" s="170"/>
      <c r="F325" s="170"/>
      <c r="G325" s="195">
        <f>SUM(G323:G324)</f>
        <v>18173.260000000002</v>
      </c>
    </row>
    <row r="326" spans="1:7" s="357" customFormat="1" ht="18">
      <c r="A326" s="226"/>
      <c r="B326" s="169"/>
      <c r="C326" s="170"/>
      <c r="D326" s="272" t="s">
        <v>295</v>
      </c>
      <c r="E326" s="170"/>
      <c r="F326" s="170"/>
      <c r="G326" s="171">
        <f>G325/10</f>
        <v>1817.3260000000002</v>
      </c>
    </row>
    <row r="327" spans="1:7" s="357" customFormat="1" ht="18">
      <c r="A327" s="226"/>
      <c r="B327" s="169"/>
      <c r="C327" s="170"/>
      <c r="D327" s="362" t="s">
        <v>296</v>
      </c>
      <c r="E327" s="170"/>
      <c r="F327" s="170"/>
      <c r="G327" s="171"/>
    </row>
    <row r="328" spans="1:7" s="357" customFormat="1" ht="18">
      <c r="A328" s="226"/>
      <c r="B328" s="169"/>
      <c r="C328" s="170"/>
      <c r="D328" s="272" t="s">
        <v>295</v>
      </c>
      <c r="E328" s="170"/>
      <c r="F328" s="170"/>
      <c r="G328" s="171">
        <f>G326+G327</f>
        <v>1817.3260000000002</v>
      </c>
    </row>
    <row r="329" spans="1:7" s="357" customFormat="1" ht="18">
      <c r="A329" s="226"/>
      <c r="B329" s="169"/>
      <c r="C329" s="170"/>
      <c r="D329" s="272"/>
      <c r="E329" s="170"/>
      <c r="F329" s="170"/>
      <c r="G329" s="171"/>
    </row>
    <row r="330" spans="1:7" s="357" customFormat="1" ht="270">
      <c r="A330" s="168">
        <f>A253+1</f>
        <v>12</v>
      </c>
      <c r="B330" s="169"/>
      <c r="C330" s="170"/>
      <c r="D330" s="273" t="str">
        <f>'BOQ-C&amp;I'!C58</f>
        <v>Extra for additional height in centering, shuttering wherever required with adequate bracing, propping etc.  including cost of de-shuttering and decentring at all levels, over a height of 3.30 m (height shall be the dimension as measured from the top of the lower slab / pcc sub base to the bottom of the subsequent upper slab) for every additional height of 1m or part thereof  for plan area to be measured Suspended  floors, flat slabs, drops, post tensioned slabs, slabs curved in plan to any radius, grid slab, roofs, landings, beams including spiral  and curved beams of all radius, post tensioned beams, grid beams, plinth beams, girders,  bressumers, cantilevers and balconies etc. and as complete with all respects complying with relevant standard specification, as directed by the departmental officers.</v>
      </c>
      <c r="E330" s="170"/>
      <c r="F330" s="170"/>
      <c r="G330" s="195"/>
    </row>
    <row r="331" spans="1:7" s="357" customFormat="1" ht="18">
      <c r="A331" s="226"/>
      <c r="B331" s="169">
        <v>98.5</v>
      </c>
      <c r="C331" s="170" t="s">
        <v>33</v>
      </c>
      <c r="D331" s="277" t="s">
        <v>294</v>
      </c>
      <c r="E331" s="170">
        <f>E266</f>
        <v>25.2</v>
      </c>
      <c r="F331" s="170" t="s">
        <v>33</v>
      </c>
      <c r="G331" s="195">
        <f>E331*B331</f>
        <v>2482.1999999999998</v>
      </c>
    </row>
    <row r="332" spans="1:7" s="357" customFormat="1" ht="18">
      <c r="A332" s="226"/>
      <c r="B332" s="169"/>
      <c r="C332" s="170"/>
      <c r="D332" s="272" t="s">
        <v>293</v>
      </c>
      <c r="E332" s="170"/>
      <c r="F332" s="170"/>
      <c r="G332" s="267">
        <f>G331/5</f>
        <v>496.43999999999994</v>
      </c>
    </row>
    <row r="333" spans="1:7" s="357" customFormat="1" ht="18">
      <c r="A333" s="226"/>
      <c r="B333" s="169">
        <v>0.3</v>
      </c>
      <c r="C333" s="170" t="s">
        <v>51</v>
      </c>
      <c r="D333" s="277" t="s">
        <v>292</v>
      </c>
      <c r="E333" s="170">
        <f>Labour!E14</f>
        <v>926</v>
      </c>
      <c r="F333" s="170" t="s">
        <v>290</v>
      </c>
      <c r="G333" s="195">
        <f>E333*B333</f>
        <v>277.8</v>
      </c>
    </row>
    <row r="334" spans="1:7" s="357" customFormat="1" ht="18">
      <c r="A334" s="226"/>
      <c r="B334" s="169">
        <v>0.3</v>
      </c>
      <c r="C334" s="170" t="s">
        <v>51</v>
      </c>
      <c r="D334" s="277" t="s">
        <v>291</v>
      </c>
      <c r="E334" s="170">
        <f>Labour!E6</f>
        <v>618</v>
      </c>
      <c r="F334" s="170" t="s">
        <v>290</v>
      </c>
      <c r="G334" s="195">
        <f>E334*B334</f>
        <v>185.4</v>
      </c>
    </row>
    <row r="335" spans="1:7" s="357" customFormat="1" ht="18">
      <c r="A335" s="226"/>
      <c r="B335" s="169"/>
      <c r="C335" s="170" t="s">
        <v>159</v>
      </c>
      <c r="D335" s="277" t="s">
        <v>289</v>
      </c>
      <c r="E335" s="170"/>
      <c r="F335" s="170" t="s">
        <v>288</v>
      </c>
      <c r="G335" s="195">
        <v>6.9</v>
      </c>
    </row>
    <row r="336" spans="1:7" s="357" customFormat="1" ht="18">
      <c r="A336" s="226"/>
      <c r="B336" s="169"/>
      <c r="C336" s="170"/>
      <c r="D336" s="362" t="s">
        <v>287</v>
      </c>
      <c r="E336" s="170"/>
      <c r="F336" s="170"/>
      <c r="G336" s="195">
        <f>SUM(G332:G335)</f>
        <v>966.54</v>
      </c>
    </row>
    <row r="337" spans="1:18" ht="18">
      <c r="A337" s="226"/>
      <c r="B337" s="169"/>
      <c r="C337" s="170"/>
      <c r="D337" s="272" t="s">
        <v>286</v>
      </c>
      <c r="E337" s="170"/>
      <c r="F337" s="170"/>
      <c r="G337" s="267">
        <f>G336/10</f>
        <v>96.653999999999996</v>
      </c>
    </row>
    <row r="338" spans="1:18" ht="36">
      <c r="A338" s="226"/>
      <c r="B338" s="169"/>
      <c r="C338" s="170"/>
      <c r="D338" s="272" t="s">
        <v>285</v>
      </c>
      <c r="E338" s="170"/>
      <c r="F338" s="170"/>
      <c r="G338" s="267">
        <f>G337/3</f>
        <v>32.217999999999996</v>
      </c>
      <c r="H338" s="364"/>
    </row>
    <row r="339" spans="1:18" ht="18">
      <c r="A339" s="226"/>
      <c r="B339" s="169"/>
      <c r="C339" s="170"/>
      <c r="D339" s="272" t="s">
        <v>154</v>
      </c>
      <c r="E339" s="170"/>
      <c r="F339" s="170"/>
      <c r="G339" s="267">
        <v>0.01</v>
      </c>
      <c r="H339" s="364"/>
    </row>
    <row r="340" spans="1:18" ht="18">
      <c r="A340" s="226"/>
      <c r="B340" s="169"/>
      <c r="C340" s="170"/>
      <c r="D340" s="272" t="s">
        <v>284</v>
      </c>
      <c r="E340" s="170"/>
      <c r="F340" s="170"/>
      <c r="G340" s="267">
        <f>G339+G338</f>
        <v>32.227999999999994</v>
      </c>
    </row>
    <row r="341" spans="1:18" ht="18">
      <c r="A341" s="226"/>
      <c r="B341" s="169"/>
      <c r="C341" s="170"/>
      <c r="D341" s="272"/>
      <c r="E341" s="170"/>
      <c r="F341" s="170"/>
      <c r="G341" s="267"/>
    </row>
    <row r="342" spans="1:18" ht="18">
      <c r="A342" s="226"/>
      <c r="B342" s="169"/>
      <c r="C342" s="170"/>
      <c r="D342" s="353" t="s">
        <v>125</v>
      </c>
      <c r="E342" s="170"/>
      <c r="F342" s="170"/>
      <c r="G342" s="195"/>
    </row>
    <row r="343" spans="1:18" ht="252">
      <c r="A343" s="168">
        <f>+A330+1</f>
        <v>13</v>
      </c>
      <c r="B343" s="169"/>
      <c r="C343" s="170"/>
      <c r="D343" s="273" t="str">
        <f>'BOQ-C&amp;I'!C61</f>
        <v>Providing and constructing cement concrete solid block masonry work at all levels in cement mortar 1:5 using standard size of 400 x 200 x 200 mm thick of solid cement concrete blocks of thickness as given below, with minimum compressive strength of 5 N/Sq.mm. conforming to IS 2185 or equivalent BS and Fly ash conforming to IS : 3812 (Part III)-1966* may be used for part replacement of fine aggregate up to a limit of 20 percent. etc. complete and as directed. Rate to include all materials, labour charges, wastages  for working at all levels with necessary lead and lifts, transportation charges, loading, unloading, scaffolding, staging, curing, fuel, consumables as complete with all respects complying with relevant standard specification and as directed by the departmental officers.</v>
      </c>
      <c r="E343" s="170"/>
      <c r="F343" s="170"/>
      <c r="G343" s="195"/>
      <c r="I343" s="278"/>
      <c r="J343" s="278"/>
      <c r="K343" s="278"/>
      <c r="L343" s="278"/>
      <c r="M343" s="278"/>
      <c r="N343" s="278"/>
      <c r="O343" s="278"/>
      <c r="P343" s="278"/>
      <c r="Q343" s="278"/>
      <c r="R343" s="278"/>
    </row>
    <row r="344" spans="1:18" ht="18">
      <c r="A344" s="168"/>
      <c r="B344" s="169"/>
      <c r="C344" s="170"/>
      <c r="D344" s="277" t="s">
        <v>1876</v>
      </c>
      <c r="E344" s="170"/>
      <c r="F344" s="170"/>
      <c r="G344" s="195"/>
      <c r="I344" s="278"/>
      <c r="J344" s="278"/>
      <c r="K344" s="278"/>
      <c r="L344" s="278"/>
      <c r="M344" s="278"/>
      <c r="N344" s="278"/>
      <c r="O344" s="278"/>
      <c r="P344" s="278"/>
      <c r="Q344" s="278"/>
      <c r="R344" s="278"/>
    </row>
    <row r="345" spans="1:18" ht="18">
      <c r="A345" s="168"/>
      <c r="B345" s="169">
        <v>1</v>
      </c>
      <c r="C345" s="170" t="s">
        <v>71</v>
      </c>
      <c r="D345" s="277" t="s">
        <v>790</v>
      </c>
      <c r="E345" s="229">
        <f>'Comparison - Annexure 04'!K11</f>
        <v>1425</v>
      </c>
      <c r="F345" s="170" t="s">
        <v>9</v>
      </c>
      <c r="G345" s="195">
        <f>B345*E345</f>
        <v>1425</v>
      </c>
      <c r="I345" s="278"/>
      <c r="J345" s="278"/>
      <c r="K345" s="278"/>
      <c r="L345" s="278"/>
      <c r="M345" s="278"/>
      <c r="N345" s="278"/>
      <c r="O345" s="278"/>
      <c r="P345" s="278"/>
      <c r="Q345" s="278"/>
      <c r="R345" s="278"/>
    </row>
    <row r="346" spans="1:18" s="357" customFormat="1" ht="18">
      <c r="A346" s="226"/>
      <c r="B346" s="169"/>
      <c r="C346" s="170"/>
      <c r="D346" s="277" t="s">
        <v>1876</v>
      </c>
      <c r="E346" s="172"/>
      <c r="F346" s="170"/>
      <c r="G346" s="195"/>
      <c r="I346" s="365"/>
      <c r="J346" s="365"/>
      <c r="K346" s="365"/>
      <c r="L346" s="365"/>
      <c r="M346" s="365"/>
      <c r="N346" s="365"/>
      <c r="O346" s="365"/>
      <c r="P346" s="365"/>
      <c r="Q346" s="365"/>
      <c r="R346" s="365"/>
    </row>
    <row r="347" spans="1:18" s="357" customFormat="1" ht="18">
      <c r="A347" s="226"/>
      <c r="B347" s="169">
        <v>1</v>
      </c>
      <c r="C347" s="170" t="s">
        <v>70</v>
      </c>
      <c r="D347" s="277" t="s">
        <v>791</v>
      </c>
      <c r="E347" s="172">
        <f>'Comparison - Annexure 04'!K12</f>
        <v>1275</v>
      </c>
      <c r="F347" s="170" t="s">
        <v>9</v>
      </c>
      <c r="G347" s="195">
        <f>B347*E347</f>
        <v>1275</v>
      </c>
      <c r="I347" s="365"/>
      <c r="J347" s="365"/>
      <c r="K347" s="365"/>
      <c r="L347" s="365"/>
      <c r="M347" s="365"/>
      <c r="N347" s="365"/>
      <c r="O347" s="365"/>
      <c r="P347" s="365"/>
      <c r="Q347" s="365"/>
      <c r="R347" s="365"/>
    </row>
    <row r="348" spans="1:18" ht="18">
      <c r="A348" s="226"/>
      <c r="B348" s="169"/>
      <c r="C348" s="170"/>
      <c r="D348" s="272"/>
      <c r="E348" s="170"/>
      <c r="F348" s="170"/>
      <c r="G348" s="195"/>
      <c r="I348" s="278"/>
      <c r="J348" s="278"/>
      <c r="K348" s="278"/>
      <c r="L348" s="278"/>
      <c r="M348" s="278"/>
      <c r="N348" s="278"/>
      <c r="O348" s="278"/>
      <c r="P348" s="278"/>
      <c r="Q348" s="278"/>
      <c r="R348" s="278"/>
    </row>
    <row r="349" spans="1:18" ht="72">
      <c r="A349" s="274">
        <f>A343+1</f>
        <v>14</v>
      </c>
      <c r="B349" s="169"/>
      <c r="C349" s="170"/>
      <c r="D349" s="277" t="str">
        <f>'BOQ-C&amp;I'!C66</f>
        <v>Providing and constructing Autoclaved Aerated Concrete block masonry work using standard size of AAC blocks. Blocks manufactured under strict quality control conditions confirming to IS standards only shall be us</v>
      </c>
      <c r="E349" s="170"/>
      <c r="F349" s="170"/>
      <c r="G349" s="195"/>
      <c r="I349" s="278"/>
      <c r="J349" s="278"/>
      <c r="K349" s="278"/>
      <c r="L349" s="278"/>
      <c r="M349" s="278"/>
      <c r="N349" s="278"/>
      <c r="O349" s="278"/>
      <c r="P349" s="278"/>
      <c r="Q349" s="278"/>
      <c r="R349" s="278"/>
    </row>
    <row r="350" spans="1:18" ht="18">
      <c r="A350" s="168"/>
      <c r="B350" s="169"/>
      <c r="C350" s="170"/>
      <c r="D350" s="272" t="s">
        <v>283</v>
      </c>
      <c r="E350" s="170"/>
      <c r="F350" s="170"/>
      <c r="G350" s="195"/>
      <c r="I350" s="278"/>
      <c r="J350" s="278"/>
      <c r="K350" s="278"/>
      <c r="L350" s="278"/>
      <c r="M350" s="278"/>
      <c r="N350" s="278"/>
      <c r="O350" s="278"/>
      <c r="P350" s="278"/>
      <c r="Q350" s="278"/>
      <c r="R350" s="278"/>
    </row>
    <row r="351" spans="1:18" ht="18">
      <c r="A351" s="168" t="s">
        <v>63</v>
      </c>
      <c r="B351" s="169"/>
      <c r="C351" s="170"/>
      <c r="D351" s="272" t="s">
        <v>761</v>
      </c>
      <c r="E351" s="170"/>
      <c r="F351" s="170"/>
      <c r="G351" s="195"/>
      <c r="I351" s="278"/>
      <c r="J351" s="278"/>
      <c r="K351" s="278"/>
      <c r="L351" s="278"/>
      <c r="M351" s="278"/>
      <c r="N351" s="278"/>
      <c r="O351" s="278"/>
      <c r="P351" s="278"/>
      <c r="Q351" s="278"/>
      <c r="R351" s="278"/>
    </row>
    <row r="352" spans="1:18" s="357" customFormat="1" ht="18">
      <c r="A352" s="226"/>
      <c r="B352" s="169"/>
      <c r="C352" s="170"/>
      <c r="D352" s="277" t="s">
        <v>531</v>
      </c>
      <c r="E352" s="172">
        <f>66.67/35.3</f>
        <v>1.8886685552407934</v>
      </c>
      <c r="F352" s="170" t="s">
        <v>532</v>
      </c>
      <c r="G352" s="195"/>
      <c r="I352" s="365"/>
      <c r="J352" s="365"/>
      <c r="K352" s="365"/>
      <c r="L352" s="365"/>
      <c r="M352" s="365"/>
      <c r="N352" s="365"/>
      <c r="O352" s="365"/>
      <c r="P352" s="365"/>
      <c r="Q352" s="365"/>
      <c r="R352" s="365"/>
    </row>
    <row r="353" spans="1:18" s="357" customFormat="1" ht="18">
      <c r="A353" s="535"/>
      <c r="B353" s="536">
        <v>78</v>
      </c>
      <c r="C353" s="537" t="s">
        <v>195</v>
      </c>
      <c r="D353" s="538" t="s">
        <v>760</v>
      </c>
      <c r="E353" s="539">
        <f>'Lead Statement'!I19/42</f>
        <v>120.76190476190476</v>
      </c>
      <c r="F353" s="537" t="s">
        <v>165</v>
      </c>
      <c r="G353" s="540">
        <f>(B353*E353)</f>
        <v>9419.4285714285706</v>
      </c>
      <c r="I353" s="365"/>
      <c r="J353" s="365"/>
      <c r="K353" s="365"/>
      <c r="L353" s="365"/>
      <c r="M353" s="365"/>
      <c r="N353" s="365"/>
      <c r="O353" s="365"/>
      <c r="P353" s="365"/>
      <c r="Q353" s="365"/>
      <c r="R353" s="365"/>
    </row>
    <row r="354" spans="1:18" s="357" customFormat="1" ht="18">
      <c r="A354" s="226"/>
      <c r="B354" s="169">
        <v>0.18</v>
      </c>
      <c r="C354" s="170" t="s">
        <v>1620</v>
      </c>
      <c r="D354" s="277" t="s">
        <v>200</v>
      </c>
      <c r="E354" s="172">
        <f>G$39</f>
        <v>3307.68</v>
      </c>
      <c r="F354" s="170" t="s">
        <v>1620</v>
      </c>
      <c r="G354" s="195">
        <f>+E354*B354</f>
        <v>595.38239999999996</v>
      </c>
      <c r="I354" s="365"/>
      <c r="J354" s="365"/>
      <c r="K354" s="365"/>
      <c r="L354" s="365"/>
      <c r="M354" s="365"/>
      <c r="N354" s="365"/>
      <c r="O354" s="365"/>
      <c r="P354" s="365"/>
      <c r="Q354" s="365"/>
      <c r="R354" s="365"/>
    </row>
    <row r="355" spans="1:18" s="357" customFormat="1" ht="18">
      <c r="A355" s="226"/>
      <c r="B355" s="169">
        <v>2.5</v>
      </c>
      <c r="C355" s="170" t="s">
        <v>51</v>
      </c>
      <c r="D355" s="277" t="s">
        <v>215</v>
      </c>
      <c r="E355" s="172">
        <f>+Labour!E$4</f>
        <v>947</v>
      </c>
      <c r="F355" s="170" t="s">
        <v>165</v>
      </c>
      <c r="G355" s="195">
        <f>+E355*B355</f>
        <v>2367.5</v>
      </c>
      <c r="I355" s="365"/>
      <c r="J355" s="365"/>
      <c r="K355" s="365"/>
      <c r="L355" s="365"/>
      <c r="M355" s="365"/>
      <c r="N355" s="365"/>
      <c r="O355" s="365"/>
      <c r="P355" s="365"/>
      <c r="Q355" s="365"/>
      <c r="R355" s="365"/>
    </row>
    <row r="356" spans="1:18" s="357" customFormat="1" ht="18">
      <c r="A356" s="226"/>
      <c r="B356" s="169">
        <v>1.75</v>
      </c>
      <c r="C356" s="170" t="s">
        <v>51</v>
      </c>
      <c r="D356" s="277" t="s">
        <v>151</v>
      </c>
      <c r="E356" s="172">
        <f>+Labour!E$6</f>
        <v>618</v>
      </c>
      <c r="F356" s="170" t="s">
        <v>165</v>
      </c>
      <c r="G356" s="195">
        <f>+E356*B356</f>
        <v>1081.5</v>
      </c>
      <c r="I356" s="365"/>
      <c r="J356" s="365"/>
      <c r="K356" s="365"/>
      <c r="L356" s="365"/>
      <c r="M356" s="365"/>
      <c r="N356" s="365"/>
      <c r="O356" s="365"/>
      <c r="P356" s="365"/>
      <c r="Q356" s="365"/>
      <c r="R356" s="365"/>
    </row>
    <row r="357" spans="1:18" s="357" customFormat="1" ht="18">
      <c r="A357" s="226"/>
      <c r="B357" s="169">
        <v>1.75</v>
      </c>
      <c r="C357" s="170" t="s">
        <v>51</v>
      </c>
      <c r="D357" s="277" t="s">
        <v>150</v>
      </c>
      <c r="E357" s="172">
        <f>+Labour!E$7</f>
        <v>507</v>
      </c>
      <c r="F357" s="170" t="s">
        <v>165</v>
      </c>
      <c r="G357" s="195">
        <f>+E357*B357</f>
        <v>887.25</v>
      </c>
      <c r="I357" s="365"/>
      <c r="J357" s="365"/>
      <c r="K357" s="365"/>
      <c r="L357" s="365"/>
      <c r="M357" s="365"/>
      <c r="N357" s="365"/>
      <c r="O357" s="365"/>
      <c r="P357" s="365"/>
      <c r="Q357" s="365"/>
      <c r="R357" s="365"/>
    </row>
    <row r="358" spans="1:18" s="357" customFormat="1" ht="18">
      <c r="A358" s="226"/>
      <c r="B358" s="169"/>
      <c r="C358" s="170" t="s">
        <v>182</v>
      </c>
      <c r="D358" s="277" t="s">
        <v>534</v>
      </c>
      <c r="E358" s="170"/>
      <c r="F358" s="170"/>
      <c r="G358" s="195">
        <f>SUM(G352:G357)</f>
        <v>14351.060971428571</v>
      </c>
      <c r="I358" s="365"/>
      <c r="J358" s="365"/>
      <c r="K358" s="365"/>
      <c r="L358" s="365"/>
      <c r="M358" s="365"/>
      <c r="N358" s="365"/>
      <c r="O358" s="365"/>
      <c r="P358" s="365"/>
      <c r="Q358" s="365"/>
      <c r="R358" s="365"/>
    </row>
    <row r="359" spans="1:18" s="357" customFormat="1" ht="18">
      <c r="A359" s="226"/>
      <c r="B359" s="169"/>
      <c r="C359" s="170"/>
      <c r="D359" s="272" t="s">
        <v>222</v>
      </c>
      <c r="E359" s="170"/>
      <c r="F359" s="170"/>
      <c r="G359" s="232">
        <f>G358/9.29</f>
        <v>1544.7858957404276</v>
      </c>
      <c r="I359" s="365"/>
      <c r="J359" s="365"/>
      <c r="K359" s="365"/>
      <c r="L359" s="365"/>
      <c r="M359" s="365"/>
      <c r="N359" s="365"/>
      <c r="O359" s="365"/>
      <c r="P359" s="365"/>
      <c r="Q359" s="365"/>
      <c r="R359" s="365"/>
    </row>
    <row r="360" spans="1:18" s="357" customFormat="1" ht="18">
      <c r="A360" s="226"/>
      <c r="B360" s="169"/>
      <c r="C360" s="170"/>
      <c r="D360" s="277" t="s">
        <v>154</v>
      </c>
      <c r="E360" s="170"/>
      <c r="F360" s="170"/>
      <c r="G360" s="195"/>
      <c r="I360" s="365"/>
      <c r="J360" s="365"/>
      <c r="K360" s="365"/>
      <c r="L360" s="365"/>
      <c r="M360" s="365"/>
      <c r="N360" s="365"/>
      <c r="O360" s="365"/>
      <c r="P360" s="365"/>
      <c r="Q360" s="365"/>
      <c r="R360" s="365"/>
    </row>
    <row r="361" spans="1:18" ht="18">
      <c r="A361" s="226"/>
      <c r="B361" s="169"/>
      <c r="C361" s="170"/>
      <c r="D361" s="272" t="s">
        <v>270</v>
      </c>
      <c r="E361" s="172"/>
      <c r="F361" s="172"/>
      <c r="G361" s="171">
        <f>G360+G359</f>
        <v>1544.7858957404276</v>
      </c>
      <c r="I361" s="278"/>
      <c r="J361" s="278"/>
      <c r="K361" s="278"/>
      <c r="L361" s="278"/>
      <c r="M361" s="278"/>
      <c r="N361" s="278"/>
      <c r="O361" s="278"/>
      <c r="P361" s="278"/>
      <c r="Q361" s="278"/>
      <c r="R361" s="278"/>
    </row>
    <row r="362" spans="1:18" ht="18">
      <c r="A362" s="226"/>
      <c r="B362" s="169"/>
      <c r="C362" s="170"/>
      <c r="D362" s="272"/>
      <c r="E362" s="172"/>
      <c r="F362" s="172"/>
      <c r="G362" s="195"/>
      <c r="I362" s="278"/>
      <c r="J362" s="278"/>
      <c r="K362" s="278"/>
      <c r="L362" s="278"/>
      <c r="M362" s="278"/>
      <c r="N362" s="278"/>
      <c r="O362" s="278"/>
      <c r="P362" s="278"/>
      <c r="Q362" s="278"/>
      <c r="R362" s="278"/>
    </row>
    <row r="363" spans="1:18" ht="18">
      <c r="A363" s="226" t="s">
        <v>71</v>
      </c>
      <c r="B363" s="169"/>
      <c r="C363" s="170"/>
      <c r="D363" s="272" t="s">
        <v>48</v>
      </c>
      <c r="E363" s="172">
        <f>+G361</f>
        <v>1544.7858957404276</v>
      </c>
      <c r="F363" s="172">
        <f>+Labour!E35*(0.6*0.2)</f>
        <v>8.9759999999999991</v>
      </c>
      <c r="G363" s="195">
        <f>E363+F363</f>
        <v>1553.7618957404275</v>
      </c>
      <c r="I363" s="278"/>
      <c r="J363" s="278"/>
      <c r="K363" s="365"/>
      <c r="L363" s="278"/>
      <c r="M363" s="278"/>
      <c r="N363" s="278"/>
      <c r="O363" s="278"/>
      <c r="P363" s="278"/>
      <c r="Q363" s="278"/>
      <c r="R363" s="278"/>
    </row>
    <row r="364" spans="1:18" ht="18">
      <c r="A364" s="226"/>
      <c r="B364" s="169"/>
      <c r="C364" s="170"/>
      <c r="D364" s="277" t="s">
        <v>154</v>
      </c>
      <c r="E364" s="172"/>
      <c r="F364" s="172"/>
      <c r="G364" s="195"/>
      <c r="I364" s="278"/>
      <c r="J364" s="278"/>
      <c r="K364" s="278"/>
      <c r="L364" s="278"/>
      <c r="M364" s="278"/>
      <c r="N364" s="278"/>
      <c r="O364" s="278"/>
      <c r="P364" s="278"/>
      <c r="Q364" s="278"/>
      <c r="R364" s="278"/>
    </row>
    <row r="365" spans="1:18" ht="18">
      <c r="A365" s="226"/>
      <c r="B365" s="169"/>
      <c r="C365" s="170"/>
      <c r="D365" s="272" t="s">
        <v>222</v>
      </c>
      <c r="E365" s="172"/>
      <c r="F365" s="172"/>
      <c r="G365" s="171">
        <f>G363+G364</f>
        <v>1553.7618957404275</v>
      </c>
      <c r="I365" s="365"/>
      <c r="J365" s="278"/>
      <c r="K365" s="278"/>
      <c r="L365" s="278"/>
      <c r="M365" s="278"/>
      <c r="N365" s="278"/>
      <c r="O365" s="278"/>
      <c r="P365" s="278"/>
      <c r="Q365" s="278"/>
      <c r="R365" s="278"/>
    </row>
    <row r="366" spans="1:18" ht="18">
      <c r="A366" s="226"/>
      <c r="B366" s="169"/>
      <c r="C366" s="170"/>
      <c r="D366" s="272"/>
      <c r="E366" s="172"/>
      <c r="F366" s="172"/>
      <c r="G366" s="195"/>
    </row>
    <row r="367" spans="1:18" ht="18">
      <c r="A367" s="226" t="s">
        <v>70</v>
      </c>
      <c r="B367" s="169"/>
      <c r="C367" s="170"/>
      <c r="D367" s="272" t="s">
        <v>281</v>
      </c>
      <c r="E367" s="172">
        <f>+G365</f>
        <v>1553.7618957404275</v>
      </c>
      <c r="F367" s="172">
        <f>+Labour!E36*(0.6*0.2)</f>
        <v>18.108000000000001</v>
      </c>
      <c r="G367" s="195">
        <f>E367+F367</f>
        <v>1571.8698957404274</v>
      </c>
      <c r="I367" s="278"/>
    </row>
    <row r="368" spans="1:18" ht="18">
      <c r="A368" s="226"/>
      <c r="B368" s="169"/>
      <c r="C368" s="170"/>
      <c r="D368" s="277" t="s">
        <v>154</v>
      </c>
      <c r="E368" s="172"/>
      <c r="F368" s="172"/>
      <c r="G368" s="195"/>
    </row>
    <row r="369" spans="1:18" ht="18">
      <c r="A369" s="226"/>
      <c r="B369" s="169"/>
      <c r="C369" s="170"/>
      <c r="D369" s="272" t="s">
        <v>222</v>
      </c>
      <c r="E369" s="172"/>
      <c r="F369" s="172"/>
      <c r="G369" s="171">
        <f>G367+G368</f>
        <v>1571.8698957404274</v>
      </c>
    </row>
    <row r="370" spans="1:18" ht="18">
      <c r="A370" s="226"/>
      <c r="B370" s="169"/>
      <c r="C370" s="170"/>
      <c r="D370" s="272"/>
      <c r="E370" s="172"/>
      <c r="F370" s="172"/>
      <c r="G370" s="195"/>
    </row>
    <row r="371" spans="1:18" ht="18">
      <c r="A371" s="226" t="s">
        <v>69</v>
      </c>
      <c r="B371" s="169"/>
      <c r="C371" s="170"/>
      <c r="D371" s="272" t="s">
        <v>280</v>
      </c>
      <c r="E371" s="172">
        <f>+G369</f>
        <v>1571.8698957404274</v>
      </c>
      <c r="F371" s="172">
        <f>+F367</f>
        <v>18.108000000000001</v>
      </c>
      <c r="G371" s="195">
        <f>E371+F371</f>
        <v>1589.9778957404274</v>
      </c>
    </row>
    <row r="372" spans="1:18" ht="18">
      <c r="A372" s="226"/>
      <c r="B372" s="169"/>
      <c r="C372" s="170"/>
      <c r="D372" s="277" t="s">
        <v>154</v>
      </c>
      <c r="E372" s="172"/>
      <c r="F372" s="172"/>
      <c r="G372" s="195"/>
    </row>
    <row r="373" spans="1:18" ht="18">
      <c r="A373" s="226"/>
      <c r="B373" s="169"/>
      <c r="C373" s="170"/>
      <c r="D373" s="272" t="s">
        <v>222</v>
      </c>
      <c r="E373" s="172"/>
      <c r="F373" s="172"/>
      <c r="G373" s="171">
        <f>G371+G372</f>
        <v>1589.9778957404274</v>
      </c>
    </row>
    <row r="374" spans="1:18" ht="18">
      <c r="A374" s="226"/>
      <c r="B374" s="169"/>
      <c r="C374" s="170"/>
      <c r="D374" s="272"/>
      <c r="E374" s="172"/>
      <c r="F374" s="172"/>
      <c r="G374" s="171"/>
    </row>
    <row r="375" spans="1:18" ht="18">
      <c r="A375" s="226" t="s">
        <v>68</v>
      </c>
      <c r="B375" s="169"/>
      <c r="C375" s="170"/>
      <c r="D375" s="272" t="s">
        <v>553</v>
      </c>
      <c r="E375" s="172">
        <f>G373</f>
        <v>1589.9778957404274</v>
      </c>
      <c r="F375" s="172">
        <f>F371</f>
        <v>18.108000000000001</v>
      </c>
      <c r="G375" s="195">
        <f>E375+F375</f>
        <v>1608.0858957404273</v>
      </c>
    </row>
    <row r="376" spans="1:18" ht="18">
      <c r="A376" s="226"/>
      <c r="B376" s="169"/>
      <c r="C376" s="170"/>
      <c r="D376" s="277" t="s">
        <v>154</v>
      </c>
      <c r="E376" s="172"/>
      <c r="F376" s="172"/>
      <c r="G376" s="195"/>
    </row>
    <row r="377" spans="1:18" ht="18">
      <c r="A377" s="226"/>
      <c r="B377" s="169"/>
      <c r="C377" s="170"/>
      <c r="D377" s="272" t="s">
        <v>222</v>
      </c>
      <c r="E377" s="172"/>
      <c r="F377" s="172"/>
      <c r="G377" s="171">
        <f>G375+G376</f>
        <v>1608.0858957404273</v>
      </c>
    </row>
    <row r="378" spans="1:18" ht="18">
      <c r="A378" s="226"/>
      <c r="B378" s="169"/>
      <c r="C378" s="170"/>
      <c r="D378" s="272"/>
      <c r="E378" s="172"/>
      <c r="F378" s="172"/>
      <c r="G378" s="171"/>
    </row>
    <row r="379" spans="1:18" ht="18">
      <c r="A379" s="226" t="s">
        <v>67</v>
      </c>
      <c r="B379" s="169"/>
      <c r="C379" s="170"/>
      <c r="D379" s="272" t="s">
        <v>25</v>
      </c>
      <c r="E379" s="172">
        <f>G377</f>
        <v>1608.0858957404273</v>
      </c>
      <c r="F379" s="172">
        <f>F375</f>
        <v>18.108000000000001</v>
      </c>
      <c r="G379" s="195">
        <f>E379+F379</f>
        <v>1626.1938957404273</v>
      </c>
    </row>
    <row r="380" spans="1:18" ht="18">
      <c r="A380" s="226"/>
      <c r="B380" s="169"/>
      <c r="C380" s="170"/>
      <c r="D380" s="277" t="s">
        <v>154</v>
      </c>
      <c r="E380" s="172"/>
      <c r="F380" s="172"/>
      <c r="G380" s="195"/>
    </row>
    <row r="381" spans="1:18" ht="18">
      <c r="A381" s="226"/>
      <c r="B381" s="169"/>
      <c r="C381" s="170"/>
      <c r="D381" s="272" t="s">
        <v>222</v>
      </c>
      <c r="E381" s="172"/>
      <c r="F381" s="172"/>
      <c r="G381" s="171">
        <f>G379+G380</f>
        <v>1626.1938957404273</v>
      </c>
    </row>
    <row r="382" spans="1:18" ht="18">
      <c r="A382" s="226"/>
      <c r="B382" s="169"/>
      <c r="C382" s="170"/>
      <c r="D382" s="272"/>
      <c r="E382" s="170"/>
      <c r="F382" s="170"/>
      <c r="G382" s="171"/>
    </row>
    <row r="383" spans="1:18" ht="18">
      <c r="A383" s="168" t="s">
        <v>691</v>
      </c>
      <c r="B383" s="169"/>
      <c r="C383" s="170"/>
      <c r="D383" s="272" t="s">
        <v>762</v>
      </c>
      <c r="E383" s="170"/>
      <c r="F383" s="170"/>
      <c r="G383" s="195"/>
      <c r="I383" s="278"/>
      <c r="J383" s="278"/>
      <c r="K383" s="278"/>
      <c r="L383" s="278"/>
      <c r="M383" s="278"/>
      <c r="N383" s="278"/>
      <c r="O383" s="278"/>
      <c r="P383" s="278"/>
      <c r="Q383" s="278"/>
      <c r="R383" s="278"/>
    </row>
    <row r="384" spans="1:18" s="357" customFormat="1" ht="18">
      <c r="A384" s="226"/>
      <c r="B384" s="169"/>
      <c r="C384" s="170"/>
      <c r="D384" s="277" t="s">
        <v>533</v>
      </c>
      <c r="E384" s="284">
        <v>0.94399999999999995</v>
      </c>
      <c r="F384" s="170" t="s">
        <v>532</v>
      </c>
      <c r="G384" s="195"/>
      <c r="I384" s="365"/>
      <c r="J384" s="365"/>
      <c r="K384" s="365"/>
      <c r="L384" s="365"/>
      <c r="M384" s="365"/>
      <c r="N384" s="365"/>
      <c r="O384" s="365"/>
      <c r="P384" s="365"/>
      <c r="Q384" s="365"/>
      <c r="R384" s="365"/>
    </row>
    <row r="385" spans="1:18" s="357" customFormat="1" ht="18">
      <c r="A385" s="535"/>
      <c r="B385" s="536">
        <v>78</v>
      </c>
      <c r="C385" s="537" t="s">
        <v>195</v>
      </c>
      <c r="D385" s="538" t="s">
        <v>759</v>
      </c>
      <c r="E385" s="539">
        <f>'Lead Statement'!I17/83</f>
        <v>60.556626506024095</v>
      </c>
      <c r="F385" s="537" t="s">
        <v>165</v>
      </c>
      <c r="G385" s="540">
        <f>(B385*E385)</f>
        <v>4723.4168674698794</v>
      </c>
      <c r="I385" s="365"/>
      <c r="J385" s="365"/>
      <c r="K385" s="365"/>
      <c r="L385" s="365"/>
      <c r="M385" s="365"/>
      <c r="N385" s="365"/>
      <c r="O385" s="365"/>
      <c r="P385" s="365"/>
      <c r="Q385" s="365"/>
      <c r="R385" s="365"/>
    </row>
    <row r="386" spans="1:18" s="357" customFormat="1" ht="18">
      <c r="A386" s="226"/>
      <c r="B386" s="169">
        <v>0.18</v>
      </c>
      <c r="C386" s="170" t="s">
        <v>1620</v>
      </c>
      <c r="D386" s="277" t="s">
        <v>198</v>
      </c>
      <c r="E386" s="172">
        <f>G$27</f>
        <v>4455.28</v>
      </c>
      <c r="F386" s="170" t="s">
        <v>1620</v>
      </c>
      <c r="G386" s="195">
        <f>+E386*B386</f>
        <v>801.95039999999995</v>
      </c>
      <c r="I386" s="365"/>
      <c r="J386" s="365"/>
      <c r="K386" s="365"/>
      <c r="L386" s="365"/>
      <c r="M386" s="365"/>
      <c r="N386" s="365"/>
      <c r="O386" s="365"/>
      <c r="P386" s="365"/>
      <c r="Q386" s="365"/>
      <c r="R386" s="365"/>
    </row>
    <row r="387" spans="1:18" s="357" customFormat="1" ht="18">
      <c r="A387" s="226"/>
      <c r="B387" s="169">
        <v>2.5</v>
      </c>
      <c r="C387" s="170" t="s">
        <v>51</v>
      </c>
      <c r="D387" s="277" t="s">
        <v>215</v>
      </c>
      <c r="E387" s="172">
        <f>+Labour!E$4</f>
        <v>947</v>
      </c>
      <c r="F387" s="170" t="s">
        <v>165</v>
      </c>
      <c r="G387" s="195">
        <f>+E387*B387</f>
        <v>2367.5</v>
      </c>
      <c r="I387" s="365"/>
      <c r="J387" s="365"/>
      <c r="K387" s="365"/>
      <c r="L387" s="365"/>
      <c r="M387" s="365"/>
      <c r="N387" s="365"/>
      <c r="O387" s="365"/>
      <c r="P387" s="365"/>
      <c r="Q387" s="365"/>
      <c r="R387" s="365"/>
    </row>
    <row r="388" spans="1:18" s="357" customFormat="1" ht="18">
      <c r="A388" s="226"/>
      <c r="B388" s="169">
        <v>1.75</v>
      </c>
      <c r="C388" s="170" t="s">
        <v>51</v>
      </c>
      <c r="D388" s="277" t="s">
        <v>151</v>
      </c>
      <c r="E388" s="172">
        <f>+Labour!E$6</f>
        <v>618</v>
      </c>
      <c r="F388" s="170" t="s">
        <v>165</v>
      </c>
      <c r="G388" s="195">
        <f>+E388*B388</f>
        <v>1081.5</v>
      </c>
      <c r="I388" s="365"/>
      <c r="J388" s="365"/>
      <c r="K388" s="365"/>
      <c r="L388" s="365"/>
      <c r="M388" s="365"/>
      <c r="N388" s="365"/>
      <c r="O388" s="365"/>
      <c r="P388" s="365"/>
      <c r="Q388" s="365"/>
      <c r="R388" s="365"/>
    </row>
    <row r="389" spans="1:18" s="357" customFormat="1" ht="18">
      <c r="A389" s="226"/>
      <c r="B389" s="169">
        <v>1.75</v>
      </c>
      <c r="C389" s="170" t="s">
        <v>51</v>
      </c>
      <c r="D389" s="277" t="s">
        <v>150</v>
      </c>
      <c r="E389" s="172">
        <f>+Labour!E$7</f>
        <v>507</v>
      </c>
      <c r="F389" s="170" t="s">
        <v>165</v>
      </c>
      <c r="G389" s="195">
        <f>+E389*B389</f>
        <v>887.25</v>
      </c>
      <c r="I389" s="365"/>
      <c r="J389" s="365"/>
      <c r="K389" s="365"/>
      <c r="L389" s="365"/>
      <c r="M389" s="365"/>
      <c r="N389" s="365"/>
      <c r="O389" s="365"/>
      <c r="P389" s="365"/>
      <c r="Q389" s="365"/>
      <c r="R389" s="365"/>
    </row>
    <row r="390" spans="1:18" s="357" customFormat="1" ht="20.25">
      <c r="A390" s="226"/>
      <c r="B390" s="169"/>
      <c r="C390" s="170" t="s">
        <v>182</v>
      </c>
      <c r="D390" s="277" t="s">
        <v>1621</v>
      </c>
      <c r="E390" s="170"/>
      <c r="F390" s="170"/>
      <c r="G390" s="195">
        <f>SUM(G384:G389)</f>
        <v>9861.6172674698792</v>
      </c>
      <c r="I390" s="365"/>
      <c r="J390" s="365"/>
      <c r="K390" s="365"/>
      <c r="L390" s="365"/>
      <c r="M390" s="365"/>
      <c r="N390" s="365"/>
      <c r="O390" s="365"/>
      <c r="P390" s="365"/>
      <c r="Q390" s="365"/>
      <c r="R390" s="365"/>
    </row>
    <row r="391" spans="1:18" s="357" customFormat="1" ht="18">
      <c r="A391" s="226"/>
      <c r="B391" s="169"/>
      <c r="C391" s="170"/>
      <c r="D391" s="272" t="s">
        <v>222</v>
      </c>
      <c r="E391" s="170"/>
      <c r="F391" s="170"/>
      <c r="G391" s="232">
        <f>G390/9.29</f>
        <v>1061.5303840118279</v>
      </c>
      <c r="I391" s="365"/>
      <c r="J391" s="365"/>
      <c r="K391" s="365"/>
      <c r="L391" s="365"/>
      <c r="M391" s="365"/>
      <c r="N391" s="365"/>
      <c r="O391" s="365"/>
      <c r="P391" s="365"/>
      <c r="Q391" s="365"/>
      <c r="R391" s="365"/>
    </row>
    <row r="392" spans="1:18" s="357" customFormat="1" ht="18">
      <c r="A392" s="226"/>
      <c r="B392" s="169"/>
      <c r="C392" s="170"/>
      <c r="D392" s="277" t="s">
        <v>154</v>
      </c>
      <c r="E392" s="170"/>
      <c r="F392" s="170"/>
      <c r="G392" s="195"/>
      <c r="I392" s="365"/>
      <c r="J392" s="365"/>
      <c r="K392" s="365"/>
      <c r="L392" s="365"/>
      <c r="M392" s="365"/>
      <c r="N392" s="365"/>
      <c r="O392" s="365"/>
      <c r="P392" s="365"/>
      <c r="Q392" s="365"/>
      <c r="R392" s="365"/>
    </row>
    <row r="393" spans="1:18" ht="18">
      <c r="A393" s="226"/>
      <c r="B393" s="169"/>
      <c r="C393" s="170"/>
      <c r="D393" s="272" t="s">
        <v>270</v>
      </c>
      <c r="E393" s="170"/>
      <c r="F393" s="170"/>
      <c r="G393" s="171">
        <f>G392+G391</f>
        <v>1061.5303840118279</v>
      </c>
      <c r="I393" s="278"/>
      <c r="J393" s="278"/>
      <c r="K393" s="278"/>
      <c r="L393" s="278"/>
      <c r="M393" s="278"/>
      <c r="N393" s="278"/>
      <c r="O393" s="278"/>
      <c r="P393" s="278"/>
      <c r="Q393" s="278"/>
      <c r="R393" s="278"/>
    </row>
    <row r="394" spans="1:18" ht="18">
      <c r="A394" s="226"/>
      <c r="B394" s="169"/>
      <c r="C394" s="170"/>
      <c r="D394" s="272"/>
      <c r="E394" s="172"/>
      <c r="F394" s="172"/>
      <c r="G394" s="195"/>
      <c r="I394" s="278"/>
      <c r="J394" s="278"/>
      <c r="K394" s="278"/>
      <c r="L394" s="278"/>
      <c r="M394" s="278"/>
      <c r="N394" s="278"/>
      <c r="O394" s="278"/>
      <c r="P394" s="278"/>
      <c r="Q394" s="278"/>
      <c r="R394" s="278"/>
    </row>
    <row r="395" spans="1:18" ht="18">
      <c r="A395" s="226" t="s">
        <v>71</v>
      </c>
      <c r="B395" s="169"/>
      <c r="C395" s="170"/>
      <c r="D395" s="272" t="s">
        <v>48</v>
      </c>
      <c r="E395" s="172">
        <f>+G393</f>
        <v>1061.5303840118279</v>
      </c>
      <c r="F395" s="172">
        <f>Labour!E35*(0.6*0.2)</f>
        <v>8.9759999999999991</v>
      </c>
      <c r="G395" s="195">
        <f>E395+F395</f>
        <v>1070.5063840118278</v>
      </c>
      <c r="I395" s="278"/>
      <c r="J395" s="278"/>
      <c r="K395" s="365"/>
      <c r="L395" s="278"/>
      <c r="M395" s="278"/>
      <c r="N395" s="278"/>
      <c r="O395" s="278"/>
      <c r="P395" s="278"/>
      <c r="Q395" s="278"/>
      <c r="R395" s="278"/>
    </row>
    <row r="396" spans="1:18" ht="18">
      <c r="A396" s="226"/>
      <c r="B396" s="169"/>
      <c r="C396" s="170"/>
      <c r="D396" s="277" t="s">
        <v>154</v>
      </c>
      <c r="E396" s="172"/>
      <c r="F396" s="172"/>
      <c r="G396" s="195"/>
      <c r="I396" s="278"/>
      <c r="J396" s="278"/>
      <c r="K396" s="278"/>
      <c r="L396" s="278"/>
      <c r="M396" s="278"/>
      <c r="N396" s="278"/>
      <c r="O396" s="278"/>
      <c r="P396" s="278"/>
      <c r="Q396" s="278"/>
      <c r="R396" s="278"/>
    </row>
    <row r="397" spans="1:18" ht="18">
      <c r="A397" s="226"/>
      <c r="B397" s="169"/>
      <c r="C397" s="170"/>
      <c r="D397" s="272" t="s">
        <v>222</v>
      </c>
      <c r="E397" s="172"/>
      <c r="F397" s="172"/>
      <c r="G397" s="171">
        <f>G395+G396</f>
        <v>1070.5063840118278</v>
      </c>
      <c r="I397" s="365"/>
      <c r="J397" s="278"/>
      <c r="K397" s="278"/>
      <c r="L397" s="278"/>
      <c r="M397" s="278"/>
      <c r="N397" s="278"/>
      <c r="O397" s="278"/>
      <c r="P397" s="278"/>
      <c r="Q397" s="278"/>
      <c r="R397" s="278"/>
    </row>
    <row r="398" spans="1:18" ht="18">
      <c r="A398" s="226"/>
      <c r="B398" s="169"/>
      <c r="C398" s="170"/>
      <c r="D398" s="272"/>
      <c r="E398" s="172"/>
      <c r="F398" s="172"/>
      <c r="G398" s="195"/>
    </row>
    <row r="399" spans="1:18" ht="18">
      <c r="A399" s="226" t="s">
        <v>70</v>
      </c>
      <c r="B399" s="169"/>
      <c r="C399" s="170"/>
      <c r="D399" s="272" t="s">
        <v>281</v>
      </c>
      <c r="E399" s="172">
        <f>+G397</f>
        <v>1070.5063840118278</v>
      </c>
      <c r="F399" s="172">
        <f>Labour!E36*(0.6*0.2)</f>
        <v>18.108000000000001</v>
      </c>
      <c r="G399" s="195">
        <f>E399+F399</f>
        <v>1088.6143840118277</v>
      </c>
      <c r="I399" s="278"/>
    </row>
    <row r="400" spans="1:18" ht="18">
      <c r="A400" s="226"/>
      <c r="B400" s="169"/>
      <c r="C400" s="170"/>
      <c r="D400" s="277" t="s">
        <v>154</v>
      </c>
      <c r="E400" s="172"/>
      <c r="F400" s="172"/>
      <c r="G400" s="195"/>
    </row>
    <row r="401" spans="1:18" ht="18">
      <c r="A401" s="226"/>
      <c r="B401" s="169"/>
      <c r="C401" s="170"/>
      <c r="D401" s="272" t="s">
        <v>222</v>
      </c>
      <c r="E401" s="172"/>
      <c r="F401" s="172"/>
      <c r="G401" s="171">
        <f>G399+G400</f>
        <v>1088.6143840118277</v>
      </c>
    </row>
    <row r="402" spans="1:18" ht="18">
      <c r="A402" s="226"/>
      <c r="B402" s="169"/>
      <c r="C402" s="170"/>
      <c r="D402" s="272"/>
      <c r="E402" s="172"/>
      <c r="F402" s="172"/>
      <c r="G402" s="195"/>
    </row>
    <row r="403" spans="1:18" ht="18">
      <c r="A403" s="226" t="s">
        <v>69</v>
      </c>
      <c r="B403" s="169"/>
      <c r="C403" s="170"/>
      <c r="D403" s="272" t="s">
        <v>280</v>
      </c>
      <c r="E403" s="172">
        <f>+G401</f>
        <v>1088.6143840118277</v>
      </c>
      <c r="F403" s="172">
        <f>+F399</f>
        <v>18.108000000000001</v>
      </c>
      <c r="G403" s="195">
        <f>E403+F403</f>
        <v>1106.7223840118277</v>
      </c>
    </row>
    <row r="404" spans="1:18" ht="18">
      <c r="A404" s="226"/>
      <c r="B404" s="169"/>
      <c r="C404" s="170"/>
      <c r="D404" s="277" t="s">
        <v>154</v>
      </c>
      <c r="E404" s="172"/>
      <c r="F404" s="172"/>
      <c r="G404" s="195"/>
    </row>
    <row r="405" spans="1:18" ht="18">
      <c r="A405" s="226"/>
      <c r="B405" s="169"/>
      <c r="C405" s="170"/>
      <c r="D405" s="272" t="s">
        <v>222</v>
      </c>
      <c r="E405" s="172"/>
      <c r="F405" s="172"/>
      <c r="G405" s="171">
        <f>G403+G404</f>
        <v>1106.7223840118277</v>
      </c>
    </row>
    <row r="406" spans="1:18" ht="18">
      <c r="A406" s="226"/>
      <c r="B406" s="169"/>
      <c r="C406" s="170"/>
      <c r="D406" s="272"/>
      <c r="E406" s="172"/>
      <c r="F406" s="172"/>
      <c r="G406" s="171"/>
    </row>
    <row r="407" spans="1:18" ht="18">
      <c r="A407" s="226" t="s">
        <v>68</v>
      </c>
      <c r="B407" s="169"/>
      <c r="C407" s="170"/>
      <c r="D407" s="272" t="s">
        <v>553</v>
      </c>
      <c r="E407" s="172">
        <f>G405</f>
        <v>1106.7223840118277</v>
      </c>
      <c r="F407" s="172">
        <f>F403</f>
        <v>18.108000000000001</v>
      </c>
      <c r="G407" s="195">
        <f>E407+F407</f>
        <v>1124.8303840118276</v>
      </c>
    </row>
    <row r="408" spans="1:18" ht="18">
      <c r="A408" s="226"/>
      <c r="B408" s="169"/>
      <c r="C408" s="170"/>
      <c r="D408" s="277" t="s">
        <v>154</v>
      </c>
      <c r="E408" s="172"/>
      <c r="F408" s="172"/>
      <c r="G408" s="195"/>
    </row>
    <row r="409" spans="1:18" ht="18">
      <c r="A409" s="226"/>
      <c r="B409" s="169"/>
      <c r="C409" s="170"/>
      <c r="D409" s="272" t="s">
        <v>222</v>
      </c>
      <c r="E409" s="172"/>
      <c r="F409" s="172"/>
      <c r="G409" s="171">
        <f>G407+G408</f>
        <v>1124.8303840118276</v>
      </c>
    </row>
    <row r="410" spans="1:18" ht="18">
      <c r="A410" s="226"/>
      <c r="B410" s="169"/>
      <c r="C410" s="170"/>
      <c r="D410" s="272"/>
      <c r="E410" s="172"/>
      <c r="F410" s="172"/>
      <c r="G410" s="171"/>
    </row>
    <row r="411" spans="1:18" ht="18">
      <c r="A411" s="226" t="s">
        <v>67</v>
      </c>
      <c r="B411" s="169"/>
      <c r="C411" s="170"/>
      <c r="D411" s="272" t="s">
        <v>25</v>
      </c>
      <c r="E411" s="172">
        <f>G409</f>
        <v>1124.8303840118276</v>
      </c>
      <c r="F411" s="172">
        <f>F407</f>
        <v>18.108000000000001</v>
      </c>
      <c r="G411" s="195">
        <f>E411+F411</f>
        <v>1142.9383840118276</v>
      </c>
    </row>
    <row r="412" spans="1:18" ht="18">
      <c r="A412" s="226"/>
      <c r="B412" s="169"/>
      <c r="C412" s="170"/>
      <c r="D412" s="277" t="s">
        <v>154</v>
      </c>
      <c r="E412" s="172"/>
      <c r="F412" s="172"/>
      <c r="G412" s="195"/>
    </row>
    <row r="413" spans="1:18" ht="18">
      <c r="A413" s="226"/>
      <c r="B413" s="169"/>
      <c r="C413" s="170"/>
      <c r="D413" s="272" t="s">
        <v>222</v>
      </c>
      <c r="E413" s="172"/>
      <c r="F413" s="172"/>
      <c r="G413" s="171">
        <f>G411+G412</f>
        <v>1142.9383840118276</v>
      </c>
    </row>
    <row r="414" spans="1:18" s="357" customFormat="1" ht="18">
      <c r="A414" s="226"/>
      <c r="B414" s="169"/>
      <c r="C414" s="170"/>
      <c r="D414" s="277" t="s">
        <v>757</v>
      </c>
      <c r="E414" s="284">
        <v>1.42</v>
      </c>
      <c r="F414" s="170" t="s">
        <v>532</v>
      </c>
      <c r="G414" s="195"/>
      <c r="I414" s="365"/>
      <c r="J414" s="365"/>
      <c r="K414" s="365"/>
      <c r="L414" s="365"/>
      <c r="M414" s="365"/>
      <c r="N414" s="365"/>
      <c r="O414" s="365"/>
      <c r="P414" s="365"/>
      <c r="Q414" s="365"/>
      <c r="R414" s="365"/>
    </row>
    <row r="415" spans="1:18" s="357" customFormat="1" ht="18">
      <c r="A415" s="535"/>
      <c r="B415" s="536">
        <v>78</v>
      </c>
      <c r="C415" s="537" t="s">
        <v>195</v>
      </c>
      <c r="D415" s="538" t="s">
        <v>758</v>
      </c>
      <c r="E415" s="539">
        <f>'Lead Statement'!I18/111</f>
        <v>79.684234234234239</v>
      </c>
      <c r="F415" s="537" t="s">
        <v>165</v>
      </c>
      <c r="G415" s="540">
        <f>(B415*E415)</f>
        <v>6215.3702702702703</v>
      </c>
      <c r="I415" s="365"/>
      <c r="J415" s="365"/>
      <c r="K415" s="365"/>
      <c r="L415" s="365"/>
      <c r="M415" s="365"/>
      <c r="N415" s="365"/>
      <c r="O415" s="365"/>
      <c r="P415" s="365"/>
      <c r="Q415" s="365"/>
      <c r="R415" s="365"/>
    </row>
    <row r="416" spans="1:18" s="357" customFormat="1" ht="18">
      <c r="A416" s="226"/>
      <c r="B416" s="169">
        <v>0.18</v>
      </c>
      <c r="C416" s="170" t="s">
        <v>1620</v>
      </c>
      <c r="D416" s="277" t="s">
        <v>200</v>
      </c>
      <c r="E416" s="172">
        <f>G$39</f>
        <v>3307.68</v>
      </c>
      <c r="F416" s="170" t="s">
        <v>1620</v>
      </c>
      <c r="G416" s="195">
        <f>+E416*B416</f>
        <v>595.38239999999996</v>
      </c>
      <c r="I416" s="365"/>
      <c r="J416" s="365"/>
      <c r="K416" s="365"/>
      <c r="L416" s="365"/>
      <c r="M416" s="365"/>
      <c r="N416" s="365"/>
      <c r="O416" s="365"/>
      <c r="P416" s="365"/>
      <c r="Q416" s="365"/>
      <c r="R416" s="365"/>
    </row>
    <row r="417" spans="1:18" s="357" customFormat="1" ht="18">
      <c r="A417" s="226"/>
      <c r="B417" s="169">
        <v>2.5</v>
      </c>
      <c r="C417" s="170" t="s">
        <v>51</v>
      </c>
      <c r="D417" s="277" t="s">
        <v>215</v>
      </c>
      <c r="E417" s="172">
        <f>+Labour!E$4</f>
        <v>947</v>
      </c>
      <c r="F417" s="170" t="s">
        <v>165</v>
      </c>
      <c r="G417" s="195">
        <f>+E417*B417</f>
        <v>2367.5</v>
      </c>
      <c r="I417" s="365"/>
      <c r="J417" s="365"/>
      <c r="K417" s="365"/>
      <c r="L417" s="365"/>
      <c r="M417" s="365"/>
      <c r="N417" s="365"/>
      <c r="O417" s="365"/>
      <c r="P417" s="365"/>
      <c r="Q417" s="365"/>
      <c r="R417" s="365"/>
    </row>
    <row r="418" spans="1:18" s="357" customFormat="1" ht="18">
      <c r="A418" s="226"/>
      <c r="B418" s="169">
        <v>1.75</v>
      </c>
      <c r="C418" s="170" t="s">
        <v>51</v>
      </c>
      <c r="D418" s="277" t="s">
        <v>151</v>
      </c>
      <c r="E418" s="172">
        <f>+Labour!E$6</f>
        <v>618</v>
      </c>
      <c r="F418" s="170" t="s">
        <v>165</v>
      </c>
      <c r="G418" s="195">
        <f>+E418*B418</f>
        <v>1081.5</v>
      </c>
      <c r="I418" s="365"/>
      <c r="J418" s="365"/>
      <c r="K418" s="365"/>
      <c r="L418" s="365"/>
      <c r="M418" s="365"/>
      <c r="N418" s="365"/>
      <c r="O418" s="365"/>
      <c r="P418" s="365"/>
      <c r="Q418" s="365"/>
      <c r="R418" s="365"/>
    </row>
    <row r="419" spans="1:18" s="357" customFormat="1" ht="18">
      <c r="A419" s="226"/>
      <c r="B419" s="169">
        <v>1.75</v>
      </c>
      <c r="C419" s="170" t="s">
        <v>51</v>
      </c>
      <c r="D419" s="277" t="s">
        <v>150</v>
      </c>
      <c r="E419" s="172">
        <f>+Labour!E$7</f>
        <v>507</v>
      </c>
      <c r="F419" s="170" t="s">
        <v>165</v>
      </c>
      <c r="G419" s="195">
        <f>+E419*B419</f>
        <v>887.25</v>
      </c>
      <c r="I419" s="365"/>
      <c r="J419" s="365"/>
      <c r="K419" s="365"/>
      <c r="L419" s="365"/>
      <c r="M419" s="365"/>
      <c r="N419" s="365"/>
      <c r="O419" s="365"/>
      <c r="P419" s="365"/>
      <c r="Q419" s="365"/>
      <c r="R419" s="365"/>
    </row>
    <row r="420" spans="1:18" s="357" customFormat="1" ht="20.25">
      <c r="A420" s="226"/>
      <c r="B420" s="169"/>
      <c r="C420" s="170" t="s">
        <v>182</v>
      </c>
      <c r="D420" s="277" t="s">
        <v>1622</v>
      </c>
      <c r="E420" s="170"/>
      <c r="F420" s="170"/>
      <c r="G420" s="195">
        <f>SUM(G414:G419)</f>
        <v>11147.002670270271</v>
      </c>
      <c r="I420" s="365"/>
      <c r="J420" s="365"/>
      <c r="K420" s="365"/>
      <c r="L420" s="365"/>
      <c r="M420" s="365"/>
      <c r="N420" s="365"/>
      <c r="O420" s="365"/>
      <c r="P420" s="365"/>
      <c r="Q420" s="365"/>
      <c r="R420" s="365"/>
    </row>
    <row r="421" spans="1:18" s="357" customFormat="1" ht="18">
      <c r="A421" s="226"/>
      <c r="B421" s="169"/>
      <c r="C421" s="170"/>
      <c r="D421" s="272" t="s">
        <v>222</v>
      </c>
      <c r="E421" s="170"/>
      <c r="F421" s="170"/>
      <c r="G421" s="232">
        <f>G420/9.29</f>
        <v>1199.8926448084253</v>
      </c>
      <c r="I421" s="365"/>
      <c r="J421" s="365"/>
      <c r="K421" s="365"/>
      <c r="L421" s="365"/>
      <c r="M421" s="365"/>
      <c r="N421" s="365"/>
      <c r="O421" s="365"/>
      <c r="P421" s="365"/>
      <c r="Q421" s="365"/>
      <c r="R421" s="365"/>
    </row>
    <row r="422" spans="1:18" s="357" customFormat="1" ht="18">
      <c r="A422" s="226"/>
      <c r="B422" s="169"/>
      <c r="C422" s="170"/>
      <c r="D422" s="277" t="s">
        <v>154</v>
      </c>
      <c r="E422" s="170"/>
      <c r="F422" s="170"/>
      <c r="G422" s="195"/>
      <c r="I422" s="365"/>
      <c r="J422" s="365"/>
      <c r="K422" s="365"/>
      <c r="L422" s="365"/>
      <c r="M422" s="365"/>
      <c r="N422" s="365"/>
      <c r="O422" s="365"/>
      <c r="P422" s="365"/>
      <c r="Q422" s="365"/>
      <c r="R422" s="365"/>
    </row>
    <row r="423" spans="1:18" ht="18">
      <c r="A423" s="226"/>
      <c r="B423" s="169"/>
      <c r="C423" s="170"/>
      <c r="D423" s="272" t="s">
        <v>270</v>
      </c>
      <c r="E423" s="170"/>
      <c r="F423" s="170"/>
      <c r="G423" s="171">
        <f>G422+G421</f>
        <v>1199.8926448084253</v>
      </c>
      <c r="I423" s="278"/>
      <c r="J423" s="278"/>
      <c r="K423" s="278"/>
      <c r="L423" s="278"/>
      <c r="M423" s="278"/>
      <c r="N423" s="278"/>
      <c r="O423" s="278"/>
      <c r="P423" s="278"/>
      <c r="Q423" s="278"/>
      <c r="R423" s="278"/>
    </row>
    <row r="424" spans="1:18" ht="18">
      <c r="A424" s="226"/>
      <c r="B424" s="169"/>
      <c r="C424" s="170"/>
      <c r="D424" s="272"/>
      <c r="E424" s="170"/>
      <c r="F424" s="170"/>
      <c r="G424" s="195"/>
      <c r="I424" s="278"/>
      <c r="J424" s="278"/>
      <c r="K424" s="278"/>
      <c r="L424" s="278"/>
      <c r="M424" s="278"/>
      <c r="N424" s="278"/>
      <c r="O424" s="278"/>
      <c r="P424" s="278"/>
      <c r="Q424" s="278"/>
      <c r="R424" s="278"/>
    </row>
    <row r="425" spans="1:18" ht="18">
      <c r="A425" s="226" t="s">
        <v>71</v>
      </c>
      <c r="B425" s="169"/>
      <c r="C425" s="170"/>
      <c r="D425" s="272" t="s">
        <v>48</v>
      </c>
      <c r="E425" s="172">
        <f>+G423</f>
        <v>1199.8926448084253</v>
      </c>
      <c r="F425" s="172">
        <f>Labour!E35*(0.6*0.2)</f>
        <v>8.9759999999999991</v>
      </c>
      <c r="G425" s="195">
        <f>E425+F425</f>
        <v>1208.8686448084254</v>
      </c>
      <c r="I425" s="278"/>
      <c r="J425" s="278"/>
      <c r="K425" s="365"/>
      <c r="L425" s="278"/>
      <c r="M425" s="278"/>
      <c r="N425" s="278"/>
      <c r="O425" s="278"/>
      <c r="P425" s="278"/>
      <c r="Q425" s="278"/>
      <c r="R425" s="278"/>
    </row>
    <row r="426" spans="1:18" ht="18">
      <c r="A426" s="226"/>
      <c r="B426" s="169"/>
      <c r="C426" s="170"/>
      <c r="D426" s="277" t="s">
        <v>154</v>
      </c>
      <c r="E426" s="172"/>
      <c r="F426" s="172"/>
      <c r="G426" s="195"/>
      <c r="I426" s="278"/>
      <c r="J426" s="278"/>
      <c r="K426" s="278"/>
      <c r="L426" s="278"/>
      <c r="M426" s="278"/>
      <c r="N426" s="278"/>
      <c r="O426" s="278"/>
      <c r="P426" s="278"/>
      <c r="Q426" s="278"/>
      <c r="R426" s="278"/>
    </row>
    <row r="427" spans="1:18" ht="18">
      <c r="A427" s="226"/>
      <c r="B427" s="169"/>
      <c r="C427" s="170"/>
      <c r="D427" s="272" t="s">
        <v>222</v>
      </c>
      <c r="E427" s="172"/>
      <c r="F427" s="172"/>
      <c r="G427" s="171">
        <f>G425+G426</f>
        <v>1208.8686448084254</v>
      </c>
      <c r="I427" s="365"/>
      <c r="J427" s="278"/>
      <c r="K427" s="278"/>
      <c r="L427" s="278"/>
      <c r="M427" s="278"/>
      <c r="N427" s="278"/>
      <c r="O427" s="278"/>
      <c r="P427" s="278"/>
      <c r="Q427" s="278"/>
      <c r="R427" s="278"/>
    </row>
    <row r="428" spans="1:18" ht="18">
      <c r="A428" s="226"/>
      <c r="B428" s="169"/>
      <c r="C428" s="170"/>
      <c r="D428" s="272"/>
      <c r="E428" s="172"/>
      <c r="F428" s="172"/>
      <c r="G428" s="195"/>
    </row>
    <row r="429" spans="1:18" ht="18">
      <c r="A429" s="226" t="s">
        <v>70</v>
      </c>
      <c r="B429" s="169"/>
      <c r="C429" s="170"/>
      <c r="D429" s="272" t="s">
        <v>281</v>
      </c>
      <c r="E429" s="172">
        <f>+G427</f>
        <v>1208.8686448084254</v>
      </c>
      <c r="F429" s="172">
        <f>Labour!E36*(0.6*0.2)</f>
        <v>18.108000000000001</v>
      </c>
      <c r="G429" s="195">
        <f>E429+F429</f>
        <v>1226.9766448084254</v>
      </c>
      <c r="I429" s="278"/>
    </row>
    <row r="430" spans="1:18" ht="18">
      <c r="A430" s="226"/>
      <c r="B430" s="169"/>
      <c r="C430" s="170"/>
      <c r="D430" s="277" t="s">
        <v>154</v>
      </c>
      <c r="E430" s="172"/>
      <c r="F430" s="172"/>
      <c r="G430" s="195"/>
    </row>
    <row r="431" spans="1:18" ht="18">
      <c r="A431" s="226"/>
      <c r="B431" s="169"/>
      <c r="C431" s="170"/>
      <c r="D431" s="272" t="s">
        <v>222</v>
      </c>
      <c r="E431" s="172"/>
      <c r="F431" s="172"/>
      <c r="G431" s="171">
        <f>G429+G430</f>
        <v>1226.9766448084254</v>
      </c>
    </row>
    <row r="432" spans="1:18" ht="18">
      <c r="A432" s="226"/>
      <c r="B432" s="169"/>
      <c r="C432" s="170"/>
      <c r="D432" s="272"/>
      <c r="E432" s="172"/>
      <c r="F432" s="172"/>
      <c r="G432" s="195"/>
    </row>
    <row r="433" spans="1:14" ht="18">
      <c r="A433" s="226" t="s">
        <v>69</v>
      </c>
      <c r="B433" s="169"/>
      <c r="C433" s="170"/>
      <c r="D433" s="272" t="s">
        <v>280</v>
      </c>
      <c r="E433" s="172">
        <f>+G431</f>
        <v>1226.9766448084254</v>
      </c>
      <c r="F433" s="172">
        <f>+F429</f>
        <v>18.108000000000001</v>
      </c>
      <c r="G433" s="195">
        <f>E433+F433</f>
        <v>1245.0846448084253</v>
      </c>
    </row>
    <row r="434" spans="1:14" ht="18">
      <c r="A434" s="226"/>
      <c r="B434" s="169"/>
      <c r="C434" s="170"/>
      <c r="D434" s="277" t="s">
        <v>154</v>
      </c>
      <c r="E434" s="172"/>
      <c r="F434" s="172"/>
      <c r="G434" s="195"/>
    </row>
    <row r="435" spans="1:14" ht="18">
      <c r="A435" s="226"/>
      <c r="B435" s="169"/>
      <c r="C435" s="170"/>
      <c r="D435" s="272" t="s">
        <v>222</v>
      </c>
      <c r="E435" s="172"/>
      <c r="F435" s="172"/>
      <c r="G435" s="171">
        <f>G433+G434</f>
        <v>1245.0846448084253</v>
      </c>
    </row>
    <row r="436" spans="1:14" ht="18">
      <c r="A436" s="226"/>
      <c r="B436" s="169"/>
      <c r="C436" s="170"/>
      <c r="D436" s="272"/>
      <c r="E436" s="172"/>
      <c r="F436" s="172"/>
      <c r="G436" s="171"/>
    </row>
    <row r="437" spans="1:14" ht="18">
      <c r="A437" s="226" t="s">
        <v>68</v>
      </c>
      <c r="B437" s="169"/>
      <c r="C437" s="170"/>
      <c r="D437" s="272" t="s">
        <v>553</v>
      </c>
      <c r="E437" s="172">
        <f>G435</f>
        <v>1245.0846448084253</v>
      </c>
      <c r="F437" s="172">
        <f>F433</f>
        <v>18.108000000000001</v>
      </c>
      <c r="G437" s="195">
        <f>E437+F437</f>
        <v>1263.1926448084253</v>
      </c>
    </row>
    <row r="438" spans="1:14" ht="18">
      <c r="A438" s="226"/>
      <c r="B438" s="169"/>
      <c r="C438" s="170"/>
      <c r="D438" s="277" t="s">
        <v>154</v>
      </c>
      <c r="E438" s="172"/>
      <c r="F438" s="172"/>
      <c r="G438" s="195"/>
    </row>
    <row r="439" spans="1:14" ht="18">
      <c r="A439" s="226"/>
      <c r="B439" s="169"/>
      <c r="C439" s="170"/>
      <c r="D439" s="272" t="s">
        <v>222</v>
      </c>
      <c r="E439" s="172"/>
      <c r="F439" s="172"/>
      <c r="G439" s="171">
        <f>G437+G438</f>
        <v>1263.1926448084253</v>
      </c>
    </row>
    <row r="440" spans="1:14" ht="18">
      <c r="A440" s="226"/>
      <c r="B440" s="169"/>
      <c r="C440" s="170"/>
      <c r="D440" s="272"/>
      <c r="E440" s="172"/>
      <c r="F440" s="172"/>
      <c r="G440" s="171"/>
    </row>
    <row r="441" spans="1:14" ht="18">
      <c r="A441" s="226" t="s">
        <v>67</v>
      </c>
      <c r="B441" s="169"/>
      <c r="C441" s="170"/>
      <c r="D441" s="272" t="s">
        <v>25</v>
      </c>
      <c r="E441" s="172">
        <f>G439</f>
        <v>1263.1926448084253</v>
      </c>
      <c r="F441" s="172">
        <f>F437</f>
        <v>18.108000000000001</v>
      </c>
      <c r="G441" s="195">
        <f>E441+F441</f>
        <v>1281.3006448084252</v>
      </c>
    </row>
    <row r="442" spans="1:14" ht="18">
      <c r="A442" s="226"/>
      <c r="B442" s="169"/>
      <c r="C442" s="170"/>
      <c r="D442" s="277" t="s">
        <v>154</v>
      </c>
      <c r="E442" s="172"/>
      <c r="F442" s="172"/>
      <c r="G442" s="195"/>
    </row>
    <row r="443" spans="1:14" ht="18">
      <c r="A443" s="226"/>
      <c r="B443" s="169"/>
      <c r="C443" s="170"/>
      <c r="D443" s="272" t="s">
        <v>222</v>
      </c>
      <c r="E443" s="172"/>
      <c r="F443" s="172"/>
      <c r="G443" s="171">
        <f>G441+G442</f>
        <v>1281.3006448084252</v>
      </c>
    </row>
    <row r="444" spans="1:14" ht="18">
      <c r="A444" s="226"/>
      <c r="B444" s="169"/>
      <c r="C444" s="170"/>
      <c r="D444" s="272"/>
      <c r="E444" s="170"/>
      <c r="F444" s="170"/>
      <c r="G444" s="171"/>
    </row>
    <row r="445" spans="1:14" ht="126">
      <c r="A445" s="168">
        <f>A349+1</f>
        <v>15</v>
      </c>
      <c r="B445" s="169"/>
      <c r="C445" s="170"/>
      <c r="D445" s="277" t="str">
        <f>'BOQ-C&amp;I'!C90</f>
        <v>Providing and constructing of brick work in Cement Mortar 1:5 (One Cement and Five M.sand) using best quality of Second Class Ground Moulded Chamber Burnt Bricks 9" x 41/2" x 3" with minimum compressive strength of 35 Kg per Sqcm for foundation and all floors including curing etc, Complete  complying with standard specifications and as directed by the departmental officers.</v>
      </c>
      <c r="E445" s="170"/>
      <c r="F445" s="170"/>
      <c r="G445" s="195"/>
      <c r="K445" s="366"/>
    </row>
    <row r="446" spans="1:14" ht="18">
      <c r="A446" s="168"/>
      <c r="B446" s="169"/>
      <c r="C446" s="170"/>
      <c r="D446" s="272" t="s">
        <v>283</v>
      </c>
      <c r="E446" s="170"/>
      <c r="F446" s="170"/>
      <c r="G446" s="195"/>
      <c r="I446" s="365"/>
      <c r="J446" s="365"/>
      <c r="K446" s="365"/>
      <c r="L446" s="365"/>
      <c r="M446" s="365"/>
      <c r="N446" s="365"/>
    </row>
    <row r="447" spans="1:14" s="357" customFormat="1" ht="18">
      <c r="A447" s="226"/>
      <c r="B447" s="283">
        <v>4240</v>
      </c>
      <c r="C447" s="170" t="s">
        <v>195</v>
      </c>
      <c r="D447" s="277" t="s">
        <v>764</v>
      </c>
      <c r="E447" s="284">
        <f>'Lead Statement'!I$12/1000</f>
        <v>6.8271800000000002</v>
      </c>
      <c r="F447" s="170" t="s">
        <v>165</v>
      </c>
      <c r="G447" s="232">
        <f>(B447*E447)</f>
        <v>28947.243200000001</v>
      </c>
      <c r="I447" s="365"/>
      <c r="J447" s="365"/>
      <c r="K447" s="365"/>
      <c r="L447" s="365"/>
      <c r="M447" s="365"/>
      <c r="N447" s="365"/>
    </row>
    <row r="448" spans="1:14" s="357" customFormat="1" ht="18">
      <c r="A448" s="226"/>
      <c r="B448" s="169">
        <v>2</v>
      </c>
      <c r="C448" s="170" t="s">
        <v>1620</v>
      </c>
      <c r="D448" s="277" t="s">
        <v>200</v>
      </c>
      <c r="E448" s="284">
        <f>G$39</f>
        <v>3307.68</v>
      </c>
      <c r="F448" s="170" t="s">
        <v>1620</v>
      </c>
      <c r="G448" s="232">
        <f t="shared" ref="G448:G452" si="6">(B448*E448)</f>
        <v>6615.36</v>
      </c>
      <c r="I448" s="365"/>
      <c r="J448" s="365"/>
      <c r="K448" s="365"/>
      <c r="L448" s="365"/>
      <c r="M448" s="365"/>
      <c r="N448" s="365"/>
    </row>
    <row r="449" spans="1:16" s="357" customFormat="1" ht="18">
      <c r="A449" s="226"/>
      <c r="B449" s="169">
        <v>3.5</v>
      </c>
      <c r="C449" s="170" t="s">
        <v>51</v>
      </c>
      <c r="D449" s="277" t="s">
        <v>215</v>
      </c>
      <c r="E449" s="284">
        <f>Labour!E$4</f>
        <v>947</v>
      </c>
      <c r="F449" s="170" t="s">
        <v>165</v>
      </c>
      <c r="G449" s="232">
        <f t="shared" si="6"/>
        <v>3314.5</v>
      </c>
      <c r="I449" s="365"/>
      <c r="J449" s="365"/>
      <c r="K449" s="367"/>
      <c r="L449" s="365"/>
      <c r="M449" s="365"/>
      <c r="N449" s="365"/>
    </row>
    <row r="450" spans="1:16" s="357" customFormat="1" ht="18">
      <c r="A450" s="226"/>
      <c r="B450" s="169">
        <v>10.6</v>
      </c>
      <c r="C450" s="170" t="s">
        <v>51</v>
      </c>
      <c r="D450" s="277" t="s">
        <v>224</v>
      </c>
      <c r="E450" s="284">
        <f>Labour!E$5</f>
        <v>884</v>
      </c>
      <c r="F450" s="170" t="s">
        <v>165</v>
      </c>
      <c r="G450" s="232">
        <f t="shared" si="6"/>
        <v>9370.4</v>
      </c>
      <c r="I450" s="365"/>
      <c r="J450" s="365"/>
      <c r="K450" s="367"/>
      <c r="L450" s="365"/>
      <c r="M450" s="365"/>
      <c r="N450" s="365"/>
    </row>
    <row r="451" spans="1:16" s="357" customFormat="1" ht="18">
      <c r="A451" s="226"/>
      <c r="B451" s="169">
        <v>7.1</v>
      </c>
      <c r="C451" s="170" t="s">
        <v>51</v>
      </c>
      <c r="D451" s="277" t="s">
        <v>151</v>
      </c>
      <c r="E451" s="284">
        <f>Labour!E$6</f>
        <v>618</v>
      </c>
      <c r="F451" s="170" t="s">
        <v>165</v>
      </c>
      <c r="G451" s="232">
        <f t="shared" si="6"/>
        <v>4387.8</v>
      </c>
      <c r="I451" s="365"/>
      <c r="J451" s="365"/>
      <c r="K451" s="365"/>
      <c r="L451" s="367"/>
      <c r="M451" s="365"/>
      <c r="N451" s="365"/>
      <c r="O451" s="365"/>
      <c r="P451" s="365"/>
    </row>
    <row r="452" spans="1:16" s="357" customFormat="1" ht="18">
      <c r="A452" s="226"/>
      <c r="B452" s="169">
        <v>21.2</v>
      </c>
      <c r="C452" s="170" t="s">
        <v>51</v>
      </c>
      <c r="D452" s="277" t="s">
        <v>150</v>
      </c>
      <c r="E452" s="284">
        <f>Labour!E$7</f>
        <v>507</v>
      </c>
      <c r="F452" s="170" t="s">
        <v>165</v>
      </c>
      <c r="G452" s="232">
        <f t="shared" si="6"/>
        <v>10748.4</v>
      </c>
      <c r="I452" s="365"/>
      <c r="J452" s="365"/>
      <c r="K452" s="365"/>
      <c r="L452" s="365"/>
      <c r="M452" s="365"/>
      <c r="N452" s="365"/>
    </row>
    <row r="453" spans="1:16" s="357" customFormat="1" ht="18">
      <c r="A453" s="226"/>
      <c r="B453" s="169">
        <v>1</v>
      </c>
      <c r="C453" s="170" t="s">
        <v>159</v>
      </c>
      <c r="D453" s="277" t="s">
        <v>1467</v>
      </c>
      <c r="E453" s="284">
        <v>5</v>
      </c>
      <c r="F453" s="170" t="s">
        <v>159</v>
      </c>
      <c r="G453" s="195">
        <f t="shared" ref="G453" si="7">+E453*B453</f>
        <v>5</v>
      </c>
      <c r="I453" s="365"/>
      <c r="J453" s="365"/>
      <c r="K453" s="365"/>
      <c r="L453" s="365"/>
      <c r="M453" s="365"/>
      <c r="N453" s="365"/>
    </row>
    <row r="454" spans="1:16" s="357" customFormat="1" ht="18">
      <c r="A454" s="226"/>
      <c r="B454" s="169"/>
      <c r="C454" s="170" t="s">
        <v>182</v>
      </c>
      <c r="D454" s="277" t="s">
        <v>1468</v>
      </c>
      <c r="E454" s="170"/>
      <c r="F454" s="170"/>
      <c r="G454" s="195">
        <f>SUM(G447:G453)</f>
        <v>63388.703200000004</v>
      </c>
      <c r="I454" s="365"/>
      <c r="J454" s="365"/>
      <c r="K454" s="365"/>
      <c r="L454" s="365"/>
      <c r="M454" s="365"/>
      <c r="N454" s="365"/>
    </row>
    <row r="455" spans="1:16" s="357" customFormat="1" ht="18">
      <c r="A455" s="226"/>
      <c r="B455" s="169"/>
      <c r="C455" s="170"/>
      <c r="D455" s="277" t="s">
        <v>535</v>
      </c>
      <c r="E455" s="170"/>
      <c r="F455" s="170"/>
      <c r="G455" s="232">
        <f>G454/10</f>
        <v>6338.87032</v>
      </c>
    </row>
    <row r="456" spans="1:16" s="357" customFormat="1" ht="18">
      <c r="A456" s="226"/>
      <c r="B456" s="169"/>
      <c r="C456" s="170"/>
      <c r="D456" s="277" t="s">
        <v>154</v>
      </c>
      <c r="E456" s="170"/>
      <c r="F456" s="170"/>
      <c r="G456" s="195"/>
      <c r="I456" s="365"/>
      <c r="J456" s="365"/>
      <c r="K456" s="365"/>
      <c r="L456" s="365"/>
    </row>
    <row r="457" spans="1:16" ht="18">
      <c r="A457" s="226"/>
      <c r="B457" s="169"/>
      <c r="C457" s="170"/>
      <c r="D457" s="272" t="s">
        <v>282</v>
      </c>
      <c r="E457" s="172"/>
      <c r="F457" s="170"/>
      <c r="G457" s="171">
        <f>G456+G455</f>
        <v>6338.87032</v>
      </c>
      <c r="L457" s="365"/>
    </row>
    <row r="458" spans="1:16" ht="18">
      <c r="A458" s="226"/>
      <c r="B458" s="169"/>
      <c r="C458" s="170"/>
      <c r="D458" s="272"/>
      <c r="E458" s="172"/>
      <c r="F458" s="170"/>
      <c r="G458" s="195"/>
      <c r="L458" s="365"/>
    </row>
    <row r="459" spans="1:16" ht="18">
      <c r="A459" s="226" t="s">
        <v>71</v>
      </c>
      <c r="B459" s="169"/>
      <c r="C459" s="170"/>
      <c r="D459" s="272" t="s">
        <v>48</v>
      </c>
      <c r="E459" s="172">
        <f>+G457</f>
        <v>6338.87032</v>
      </c>
      <c r="F459" s="170">
        <f>Labour!E35</f>
        <v>74.8</v>
      </c>
      <c r="G459" s="195">
        <f>E459+F459</f>
        <v>6413.6703200000002</v>
      </c>
    </row>
    <row r="460" spans="1:16" ht="18">
      <c r="A460" s="226"/>
      <c r="B460" s="169"/>
      <c r="C460" s="170"/>
      <c r="D460" s="277" t="s">
        <v>154</v>
      </c>
      <c r="E460" s="172"/>
      <c r="F460" s="170"/>
      <c r="G460" s="195"/>
    </row>
    <row r="461" spans="1:16" ht="18">
      <c r="A461" s="226"/>
      <c r="B461" s="169"/>
      <c r="C461" s="170"/>
      <c r="D461" s="272" t="s">
        <v>153</v>
      </c>
      <c r="E461" s="172"/>
      <c r="F461" s="170"/>
      <c r="G461" s="171">
        <f>G459+G460</f>
        <v>6413.6703200000002</v>
      </c>
    </row>
    <row r="462" spans="1:16" ht="18">
      <c r="A462" s="226"/>
      <c r="B462" s="169"/>
      <c r="C462" s="170"/>
      <c r="D462" s="272"/>
      <c r="E462" s="172"/>
      <c r="F462" s="170"/>
      <c r="G462" s="195"/>
    </row>
    <row r="463" spans="1:16" ht="18">
      <c r="A463" s="226" t="s">
        <v>70</v>
      </c>
      <c r="B463" s="169"/>
      <c r="C463" s="170"/>
      <c r="D463" s="272" t="s">
        <v>281</v>
      </c>
      <c r="E463" s="172">
        <f>G461</f>
        <v>6413.6703200000002</v>
      </c>
      <c r="F463" s="170">
        <f>Labour!E36</f>
        <v>150.9</v>
      </c>
      <c r="G463" s="195">
        <f>E463+F463</f>
        <v>6564.5703199999998</v>
      </c>
    </row>
    <row r="464" spans="1:16" ht="18">
      <c r="A464" s="226"/>
      <c r="B464" s="169"/>
      <c r="C464" s="170"/>
      <c r="D464" s="277" t="s">
        <v>154</v>
      </c>
      <c r="E464" s="172"/>
      <c r="F464" s="170"/>
      <c r="G464" s="195"/>
    </row>
    <row r="465" spans="1:7" ht="18">
      <c r="A465" s="226"/>
      <c r="B465" s="169"/>
      <c r="C465" s="170"/>
      <c r="D465" s="272" t="s">
        <v>153</v>
      </c>
      <c r="E465" s="172"/>
      <c r="F465" s="170"/>
      <c r="G465" s="171">
        <f>G463+G464</f>
        <v>6564.5703199999998</v>
      </c>
    </row>
    <row r="466" spans="1:7" ht="18">
      <c r="A466" s="226"/>
      <c r="B466" s="169"/>
      <c r="C466" s="170"/>
      <c r="D466" s="272"/>
      <c r="E466" s="172"/>
      <c r="F466" s="170"/>
      <c r="G466" s="195"/>
    </row>
    <row r="467" spans="1:7" ht="18">
      <c r="A467" s="226" t="s">
        <v>69</v>
      </c>
      <c r="B467" s="169"/>
      <c r="C467" s="170"/>
      <c r="D467" s="272" t="s">
        <v>280</v>
      </c>
      <c r="E467" s="172">
        <f>G465</f>
        <v>6564.5703199999998</v>
      </c>
      <c r="F467" s="170">
        <f>+F463</f>
        <v>150.9</v>
      </c>
      <c r="G467" s="195">
        <f>E467+F467</f>
        <v>6715.4703199999994</v>
      </c>
    </row>
    <row r="468" spans="1:7" ht="18">
      <c r="A468" s="226"/>
      <c r="B468" s="169"/>
      <c r="C468" s="170"/>
      <c r="D468" s="277" t="s">
        <v>154</v>
      </c>
      <c r="E468" s="172"/>
      <c r="F468" s="170"/>
      <c r="G468" s="195"/>
    </row>
    <row r="469" spans="1:7" ht="18">
      <c r="A469" s="226"/>
      <c r="B469" s="169"/>
      <c r="C469" s="170"/>
      <c r="D469" s="272" t="s">
        <v>153</v>
      </c>
      <c r="E469" s="172"/>
      <c r="F469" s="170"/>
      <c r="G469" s="171">
        <f>G467+G468</f>
        <v>6715.4703199999994</v>
      </c>
    </row>
    <row r="470" spans="1:7" ht="18">
      <c r="A470" s="226"/>
      <c r="B470" s="169"/>
      <c r="C470" s="170"/>
      <c r="D470" s="272"/>
      <c r="E470" s="172"/>
      <c r="F470" s="170"/>
      <c r="G470" s="171"/>
    </row>
    <row r="471" spans="1:7" ht="18">
      <c r="A471" s="226" t="s">
        <v>68</v>
      </c>
      <c r="B471" s="169"/>
      <c r="C471" s="170"/>
      <c r="D471" s="272" t="s">
        <v>553</v>
      </c>
      <c r="E471" s="172">
        <f>G469</f>
        <v>6715.4703199999994</v>
      </c>
      <c r="F471" s="170">
        <f>F467</f>
        <v>150.9</v>
      </c>
      <c r="G471" s="195">
        <f>E471+F471</f>
        <v>6866.3703199999991</v>
      </c>
    </row>
    <row r="472" spans="1:7" ht="18">
      <c r="A472" s="226"/>
      <c r="B472" s="169"/>
      <c r="C472" s="170"/>
      <c r="D472" s="277" t="s">
        <v>154</v>
      </c>
      <c r="E472" s="172"/>
      <c r="F472" s="170"/>
      <c r="G472" s="195"/>
    </row>
    <row r="473" spans="1:7" ht="18">
      <c r="A473" s="226"/>
      <c r="B473" s="169"/>
      <c r="C473" s="170"/>
      <c r="D473" s="272" t="s">
        <v>153</v>
      </c>
      <c r="E473" s="172"/>
      <c r="F473" s="170"/>
      <c r="G473" s="171">
        <f>G471+G472</f>
        <v>6866.3703199999991</v>
      </c>
    </row>
    <row r="474" spans="1:7" ht="18">
      <c r="A474" s="226"/>
      <c r="B474" s="169"/>
      <c r="C474" s="170"/>
      <c r="D474" s="272"/>
      <c r="E474" s="172"/>
      <c r="F474" s="170"/>
      <c r="G474" s="171"/>
    </row>
    <row r="475" spans="1:7" ht="18">
      <c r="A475" s="226" t="s">
        <v>67</v>
      </c>
      <c r="B475" s="169"/>
      <c r="C475" s="170"/>
      <c r="D475" s="272" t="s">
        <v>25</v>
      </c>
      <c r="E475" s="172">
        <f>G473</f>
        <v>6866.3703199999991</v>
      </c>
      <c r="F475" s="172">
        <f>F471</f>
        <v>150.9</v>
      </c>
      <c r="G475" s="195">
        <f>E475+F475</f>
        <v>7017.2703199999987</v>
      </c>
    </row>
    <row r="476" spans="1:7" ht="18">
      <c r="A476" s="226"/>
      <c r="B476" s="169"/>
      <c r="C476" s="170"/>
      <c r="D476" s="277" t="s">
        <v>154</v>
      </c>
      <c r="E476" s="172"/>
      <c r="F476" s="172"/>
      <c r="G476" s="195"/>
    </row>
    <row r="477" spans="1:7" ht="18">
      <c r="A477" s="226"/>
      <c r="B477" s="169"/>
      <c r="C477" s="170"/>
      <c r="D477" s="272" t="s">
        <v>153</v>
      </c>
      <c r="E477" s="172"/>
      <c r="F477" s="172"/>
      <c r="G477" s="171">
        <f>G475+G476</f>
        <v>7017.2703199999987</v>
      </c>
    </row>
    <row r="478" spans="1:7" ht="18">
      <c r="A478" s="226"/>
      <c r="B478" s="169"/>
      <c r="C478" s="170"/>
      <c r="D478" s="272"/>
      <c r="E478" s="172"/>
      <c r="F478" s="172"/>
      <c r="G478" s="171"/>
    </row>
    <row r="479" spans="1:7" ht="126">
      <c r="A479" s="274">
        <f>A445+1</f>
        <v>16</v>
      </c>
      <c r="B479" s="169"/>
      <c r="C479" s="170"/>
      <c r="D479" s="277" t="str">
        <f>'BOQ-C&amp;I'!C96</f>
        <v>Providing and constructing of 115 mm thick brick partition walls in Cement Mortar 1:3 (One Cement and Three M.Sand) using best quality Second Class Ground Moulded Chamber Burnt bricks of size 9" x 4 1/2"x 3" with hoop iron reinforcement if found necessary including curing etc., Complete complying with standard specifications and as directed by the departmental officers.</v>
      </c>
      <c r="E479" s="172"/>
      <c r="F479" s="172"/>
      <c r="G479" s="171"/>
    </row>
    <row r="480" spans="1:7" ht="18">
      <c r="A480" s="226"/>
      <c r="B480" s="169"/>
      <c r="C480" s="170"/>
      <c r="D480" s="272" t="s">
        <v>283</v>
      </c>
      <c r="E480" s="170"/>
      <c r="F480" s="170"/>
      <c r="G480" s="195"/>
    </row>
    <row r="481" spans="1:7" ht="18">
      <c r="A481" s="226"/>
      <c r="B481" s="283">
        <v>4240</v>
      </c>
      <c r="C481" s="170" t="s">
        <v>195</v>
      </c>
      <c r="D481" s="277" t="s">
        <v>764</v>
      </c>
      <c r="E481" s="284">
        <f>'Lead Statement'!I$12/1000</f>
        <v>6.8271800000000002</v>
      </c>
      <c r="F481" s="170" t="s">
        <v>165</v>
      </c>
      <c r="G481" s="232">
        <f>(B481*E481)</f>
        <v>28947.243200000001</v>
      </c>
    </row>
    <row r="482" spans="1:7" ht="18">
      <c r="A482" s="226"/>
      <c r="B482" s="169">
        <v>2</v>
      </c>
      <c r="C482" s="170" t="s">
        <v>1620</v>
      </c>
      <c r="D482" s="277" t="s">
        <v>198</v>
      </c>
      <c r="E482" s="284">
        <f>G$27</f>
        <v>4455.28</v>
      </c>
      <c r="F482" s="170" t="s">
        <v>1620</v>
      </c>
      <c r="G482" s="232">
        <f t="shared" ref="G482:G486" si="8">(B482*E482)</f>
        <v>8910.56</v>
      </c>
    </row>
    <row r="483" spans="1:7" ht="18">
      <c r="A483" s="226"/>
      <c r="B483" s="169">
        <v>3.5</v>
      </c>
      <c r="C483" s="170" t="s">
        <v>51</v>
      </c>
      <c r="D483" s="277" t="s">
        <v>215</v>
      </c>
      <c r="E483" s="284">
        <f>Labour!E$4</f>
        <v>947</v>
      </c>
      <c r="F483" s="170" t="s">
        <v>165</v>
      </c>
      <c r="G483" s="232">
        <f t="shared" si="8"/>
        <v>3314.5</v>
      </c>
    </row>
    <row r="484" spans="1:7" ht="18">
      <c r="A484" s="226"/>
      <c r="B484" s="169">
        <v>10.6</v>
      </c>
      <c r="C484" s="170" t="s">
        <v>51</v>
      </c>
      <c r="D484" s="277" t="s">
        <v>224</v>
      </c>
      <c r="E484" s="284">
        <f>Labour!E$5</f>
        <v>884</v>
      </c>
      <c r="F484" s="170" t="s">
        <v>165</v>
      </c>
      <c r="G484" s="232">
        <f t="shared" si="8"/>
        <v>9370.4</v>
      </c>
    </row>
    <row r="485" spans="1:7" ht="18">
      <c r="A485" s="226"/>
      <c r="B485" s="169">
        <v>7.1</v>
      </c>
      <c r="C485" s="170" t="s">
        <v>51</v>
      </c>
      <c r="D485" s="277" t="s">
        <v>151</v>
      </c>
      <c r="E485" s="284">
        <f>Labour!E$6</f>
        <v>618</v>
      </c>
      <c r="F485" s="170" t="s">
        <v>165</v>
      </c>
      <c r="G485" s="232">
        <f t="shared" si="8"/>
        <v>4387.8</v>
      </c>
    </row>
    <row r="486" spans="1:7" ht="18">
      <c r="A486" s="226"/>
      <c r="B486" s="169">
        <v>21.2</v>
      </c>
      <c r="C486" s="170" t="s">
        <v>51</v>
      </c>
      <c r="D486" s="277" t="s">
        <v>150</v>
      </c>
      <c r="E486" s="284">
        <f>Labour!E$7</f>
        <v>507</v>
      </c>
      <c r="F486" s="170" t="s">
        <v>165</v>
      </c>
      <c r="G486" s="232">
        <f t="shared" si="8"/>
        <v>10748.4</v>
      </c>
    </row>
    <row r="487" spans="1:7" ht="18">
      <c r="A487" s="226"/>
      <c r="B487" s="169">
        <v>1</v>
      </c>
      <c r="C487" s="170" t="s">
        <v>159</v>
      </c>
      <c r="D487" s="277" t="s">
        <v>1467</v>
      </c>
      <c r="E487" s="284">
        <v>5</v>
      </c>
      <c r="F487" s="170" t="s">
        <v>159</v>
      </c>
      <c r="G487" s="195">
        <f t="shared" ref="G487" si="9">+E487*B487</f>
        <v>5</v>
      </c>
    </row>
    <row r="488" spans="1:7" ht="18">
      <c r="A488" s="226"/>
      <c r="B488" s="169"/>
      <c r="C488" s="170" t="s">
        <v>182</v>
      </c>
      <c r="D488" s="277" t="s">
        <v>1468</v>
      </c>
      <c r="E488" s="170"/>
      <c r="F488" s="170"/>
      <c r="G488" s="195">
        <f>SUM(G481:G487)</f>
        <v>65683.903200000001</v>
      </c>
    </row>
    <row r="489" spans="1:7" ht="18">
      <c r="A489" s="226"/>
      <c r="B489" s="169"/>
      <c r="C489" s="170"/>
      <c r="D489" s="277" t="s">
        <v>535</v>
      </c>
      <c r="E489" s="170"/>
      <c r="F489" s="170"/>
      <c r="G489" s="232">
        <f>G488/10</f>
        <v>6568.3903200000004</v>
      </c>
    </row>
    <row r="490" spans="1:7" ht="18">
      <c r="A490" s="226"/>
      <c r="B490" s="169"/>
      <c r="C490" s="170"/>
      <c r="D490" s="277" t="s">
        <v>154</v>
      </c>
      <c r="E490" s="170"/>
      <c r="F490" s="170"/>
      <c r="G490" s="195"/>
    </row>
    <row r="491" spans="1:7" ht="18">
      <c r="A491" s="226"/>
      <c r="B491" s="169"/>
      <c r="C491" s="170"/>
      <c r="D491" s="272" t="s">
        <v>282</v>
      </c>
      <c r="E491" s="172"/>
      <c r="F491" s="170"/>
      <c r="G491" s="171">
        <f>G490+G489</f>
        <v>6568.3903200000004</v>
      </c>
    </row>
    <row r="492" spans="1:7" ht="18">
      <c r="A492" s="226"/>
      <c r="B492" s="169"/>
      <c r="C492" s="170"/>
      <c r="D492" s="272"/>
      <c r="E492" s="172"/>
      <c r="F492" s="172"/>
      <c r="G492" s="171"/>
    </row>
    <row r="493" spans="1:7" ht="18">
      <c r="A493" s="226"/>
      <c r="B493" s="169"/>
      <c r="C493" s="170"/>
      <c r="D493" s="272" t="s">
        <v>1607</v>
      </c>
      <c r="E493" s="172"/>
      <c r="F493" s="172"/>
      <c r="G493" s="171"/>
    </row>
    <row r="494" spans="1:7" ht="18">
      <c r="A494" s="226"/>
      <c r="B494" s="169">
        <v>1.1499999999999999</v>
      </c>
      <c r="C494" s="170" t="s">
        <v>348</v>
      </c>
      <c r="D494" s="277" t="s">
        <v>1913</v>
      </c>
      <c r="E494" s="172">
        <f>G491</f>
        <v>6568.3903200000004</v>
      </c>
      <c r="F494" s="170" t="s">
        <v>1620</v>
      </c>
      <c r="G494" s="232">
        <f t="shared" ref="G494:G496" si="10">(B494*E494)</f>
        <v>7553.6488680000002</v>
      </c>
    </row>
    <row r="495" spans="1:7" ht="18">
      <c r="A495" s="226"/>
      <c r="B495" s="169">
        <v>1</v>
      </c>
      <c r="C495" s="170" t="s">
        <v>204</v>
      </c>
      <c r="D495" s="277" t="s">
        <v>215</v>
      </c>
      <c r="E495" s="284">
        <f>Labour!E$4</f>
        <v>947</v>
      </c>
      <c r="F495" s="170" t="s">
        <v>165</v>
      </c>
      <c r="G495" s="232">
        <f t="shared" si="10"/>
        <v>947</v>
      </c>
    </row>
    <row r="496" spans="1:7" ht="18">
      <c r="A496" s="226"/>
      <c r="B496" s="169">
        <v>1</v>
      </c>
      <c r="C496" s="170" t="s">
        <v>1604</v>
      </c>
      <c r="D496" s="277" t="s">
        <v>1467</v>
      </c>
      <c r="E496" s="172">
        <v>5</v>
      </c>
      <c r="F496" s="172" t="s">
        <v>159</v>
      </c>
      <c r="G496" s="232">
        <f t="shared" si="10"/>
        <v>5</v>
      </c>
    </row>
    <row r="497" spans="1:7" ht="18">
      <c r="A497" s="226"/>
      <c r="B497" s="169"/>
      <c r="C497" s="170"/>
      <c r="D497" s="277" t="s">
        <v>1468</v>
      </c>
      <c r="E497" s="172"/>
      <c r="F497" s="172"/>
      <c r="G497" s="195">
        <f>SUM(G494:G496)</f>
        <v>8505.6488680000002</v>
      </c>
    </row>
    <row r="498" spans="1:7" ht="18">
      <c r="A498" s="226"/>
      <c r="B498" s="169"/>
      <c r="C498" s="170"/>
      <c r="D498" s="277" t="s">
        <v>535</v>
      </c>
      <c r="E498" s="172"/>
      <c r="F498" s="172"/>
      <c r="G498" s="232">
        <f>G497/10</f>
        <v>850.56488680000007</v>
      </c>
    </row>
    <row r="499" spans="1:7" ht="18">
      <c r="A499" s="226"/>
      <c r="B499" s="169"/>
      <c r="C499" s="170"/>
      <c r="D499" s="277" t="s">
        <v>154</v>
      </c>
      <c r="E499" s="172"/>
      <c r="F499" s="172"/>
      <c r="G499" s="171"/>
    </row>
    <row r="500" spans="1:7" ht="18">
      <c r="A500" s="226"/>
      <c r="B500" s="169"/>
      <c r="C500" s="170"/>
      <c r="D500" s="272" t="s">
        <v>270</v>
      </c>
      <c r="E500" s="172"/>
      <c r="F500" s="170"/>
      <c r="G500" s="171">
        <f>G499+G498</f>
        <v>850.56488680000007</v>
      </c>
    </row>
    <row r="501" spans="1:7" ht="18">
      <c r="A501" s="226"/>
      <c r="B501" s="169"/>
      <c r="C501" s="170"/>
      <c r="D501" s="272"/>
      <c r="E501" s="172"/>
      <c r="F501" s="172"/>
      <c r="G501" s="171"/>
    </row>
    <row r="502" spans="1:7" ht="18">
      <c r="A502" s="226" t="s">
        <v>71</v>
      </c>
      <c r="B502" s="169"/>
      <c r="C502" s="170"/>
      <c r="D502" s="272" t="s">
        <v>48</v>
      </c>
      <c r="E502" s="172">
        <f>+G500</f>
        <v>850.56488680000007</v>
      </c>
      <c r="F502" s="172">
        <f>Labour!E35*0.115</f>
        <v>8.6020000000000003</v>
      </c>
      <c r="G502" s="195">
        <f>E502+F502</f>
        <v>859.16688680000004</v>
      </c>
    </row>
    <row r="503" spans="1:7" ht="18">
      <c r="A503" s="226"/>
      <c r="B503" s="169"/>
      <c r="C503" s="170"/>
      <c r="D503" s="277" t="s">
        <v>154</v>
      </c>
      <c r="E503" s="172"/>
      <c r="F503" s="172"/>
      <c r="G503" s="195"/>
    </row>
    <row r="504" spans="1:7" ht="18">
      <c r="A504" s="226"/>
      <c r="B504" s="169"/>
      <c r="C504" s="170"/>
      <c r="D504" s="272" t="s">
        <v>222</v>
      </c>
      <c r="E504" s="172"/>
      <c r="F504" s="172"/>
      <c r="G504" s="171">
        <f>G502+G503</f>
        <v>859.16688680000004</v>
      </c>
    </row>
    <row r="505" spans="1:7" ht="18">
      <c r="A505" s="226"/>
      <c r="B505" s="169"/>
      <c r="C505" s="170"/>
      <c r="D505" s="272"/>
      <c r="E505" s="172"/>
      <c r="F505" s="172"/>
      <c r="G505" s="195"/>
    </row>
    <row r="506" spans="1:7" ht="18">
      <c r="A506" s="226" t="s">
        <v>70</v>
      </c>
      <c r="B506" s="169"/>
      <c r="C506" s="170"/>
      <c r="D506" s="272" t="s">
        <v>281</v>
      </c>
      <c r="E506" s="172">
        <f>G504</f>
        <v>859.16688680000004</v>
      </c>
      <c r="F506" s="172">
        <f>Labour!E36*0.115</f>
        <v>17.3535</v>
      </c>
      <c r="G506" s="195">
        <f>E506+F506</f>
        <v>876.5203868000001</v>
      </c>
    </row>
    <row r="507" spans="1:7" ht="18">
      <c r="A507" s="226"/>
      <c r="B507" s="169"/>
      <c r="C507" s="170"/>
      <c r="D507" s="277" t="s">
        <v>154</v>
      </c>
      <c r="E507" s="172"/>
      <c r="F507" s="172"/>
      <c r="G507" s="195"/>
    </row>
    <row r="508" spans="1:7" ht="18">
      <c r="A508" s="226"/>
      <c r="B508" s="169"/>
      <c r="C508" s="170"/>
      <c r="D508" s="272" t="s">
        <v>222</v>
      </c>
      <c r="E508" s="172"/>
      <c r="F508" s="172"/>
      <c r="G508" s="171">
        <f>G506+G507</f>
        <v>876.5203868000001</v>
      </c>
    </row>
    <row r="509" spans="1:7" ht="18">
      <c r="A509" s="226"/>
      <c r="B509" s="169"/>
      <c r="C509" s="170"/>
      <c r="D509" s="272"/>
      <c r="E509" s="172"/>
      <c r="F509" s="172"/>
      <c r="G509" s="195"/>
    </row>
    <row r="510" spans="1:7" ht="18">
      <c r="A510" s="226" t="s">
        <v>69</v>
      </c>
      <c r="B510" s="169"/>
      <c r="C510" s="170"/>
      <c r="D510" s="272" t="s">
        <v>280</v>
      </c>
      <c r="E510" s="172">
        <f>G508</f>
        <v>876.5203868000001</v>
      </c>
      <c r="F510" s="172">
        <f>+F506</f>
        <v>17.3535</v>
      </c>
      <c r="G510" s="195">
        <f>E510+F510</f>
        <v>893.87388680000015</v>
      </c>
    </row>
    <row r="511" spans="1:7" ht="18">
      <c r="A511" s="226"/>
      <c r="B511" s="169"/>
      <c r="C511" s="170"/>
      <c r="D511" s="277" t="s">
        <v>154</v>
      </c>
      <c r="E511" s="172"/>
      <c r="F511" s="172"/>
      <c r="G511" s="195"/>
    </row>
    <row r="512" spans="1:7" ht="18">
      <c r="A512" s="226"/>
      <c r="B512" s="169"/>
      <c r="C512" s="170"/>
      <c r="D512" s="272" t="s">
        <v>222</v>
      </c>
      <c r="E512" s="172"/>
      <c r="F512" s="172"/>
      <c r="G512" s="171">
        <f>G510+G511</f>
        <v>893.87388680000015</v>
      </c>
    </row>
    <row r="513" spans="1:7" ht="18">
      <c r="A513" s="226"/>
      <c r="B513" s="169"/>
      <c r="C513" s="170"/>
      <c r="D513" s="272"/>
      <c r="E513" s="172"/>
      <c r="F513" s="172"/>
      <c r="G513" s="171"/>
    </row>
    <row r="514" spans="1:7" ht="18">
      <c r="A514" s="226" t="s">
        <v>68</v>
      </c>
      <c r="B514" s="169"/>
      <c r="C514" s="170"/>
      <c r="D514" s="272" t="s">
        <v>553</v>
      </c>
      <c r="E514" s="172">
        <f>G512</f>
        <v>893.87388680000015</v>
      </c>
      <c r="F514" s="172">
        <f>F510</f>
        <v>17.3535</v>
      </c>
      <c r="G514" s="195">
        <f>E514+F514</f>
        <v>911.2273868000002</v>
      </c>
    </row>
    <row r="515" spans="1:7" ht="18">
      <c r="A515" s="226"/>
      <c r="B515" s="169"/>
      <c r="C515" s="170"/>
      <c r="D515" s="277" t="s">
        <v>154</v>
      </c>
      <c r="E515" s="172"/>
      <c r="F515" s="172"/>
      <c r="G515" s="195"/>
    </row>
    <row r="516" spans="1:7" ht="18">
      <c r="A516" s="226"/>
      <c r="B516" s="169"/>
      <c r="C516" s="170"/>
      <c r="D516" s="272" t="s">
        <v>222</v>
      </c>
      <c r="E516" s="172"/>
      <c r="F516" s="172"/>
      <c r="G516" s="171">
        <f>G514+G515</f>
        <v>911.2273868000002</v>
      </c>
    </row>
    <row r="517" spans="1:7" ht="18">
      <c r="A517" s="226"/>
      <c r="B517" s="169"/>
      <c r="C517" s="170"/>
      <c r="D517" s="272"/>
      <c r="E517" s="172"/>
      <c r="F517" s="172"/>
      <c r="G517" s="171"/>
    </row>
    <row r="518" spans="1:7" ht="18">
      <c r="A518" s="226" t="s">
        <v>67</v>
      </c>
      <c r="B518" s="169"/>
      <c r="C518" s="170"/>
      <c r="D518" s="272" t="s">
        <v>25</v>
      </c>
      <c r="E518" s="172">
        <f>G516</f>
        <v>911.2273868000002</v>
      </c>
      <c r="F518" s="172">
        <f>F514</f>
        <v>17.3535</v>
      </c>
      <c r="G518" s="195">
        <f>E518+F518</f>
        <v>928.58088680000026</v>
      </c>
    </row>
    <row r="519" spans="1:7" ht="18">
      <c r="A519" s="226"/>
      <c r="B519" s="169"/>
      <c r="C519" s="170"/>
      <c r="D519" s="277" t="s">
        <v>154</v>
      </c>
      <c r="E519" s="172"/>
      <c r="F519" s="172"/>
      <c r="G519" s="195"/>
    </row>
    <row r="520" spans="1:7" ht="18">
      <c r="A520" s="226"/>
      <c r="B520" s="169"/>
      <c r="C520" s="170"/>
      <c r="D520" s="272" t="s">
        <v>222</v>
      </c>
      <c r="E520" s="172"/>
      <c r="F520" s="172"/>
      <c r="G520" s="171">
        <f>G518+G519</f>
        <v>928.58088680000026</v>
      </c>
    </row>
    <row r="521" spans="1:7" ht="18">
      <c r="A521" s="226"/>
      <c r="B521" s="169"/>
      <c r="C521" s="170"/>
      <c r="D521" s="272"/>
      <c r="E521" s="170"/>
      <c r="F521" s="170"/>
      <c r="G521" s="195"/>
    </row>
    <row r="522" spans="1:7" ht="18">
      <c r="A522" s="226"/>
      <c r="B522" s="169"/>
      <c r="C522" s="170"/>
      <c r="D522" s="304" t="s">
        <v>121</v>
      </c>
      <c r="E522" s="170"/>
      <c r="F522" s="170"/>
      <c r="G522" s="195"/>
    </row>
    <row r="523" spans="1:7" ht="288">
      <c r="A523" s="168">
        <f>A479+1</f>
        <v>17</v>
      </c>
      <c r="B523" s="169"/>
      <c r="C523" s="170"/>
      <c r="D523" s="277" t="str">
        <f>'BOQ-C&amp;I'!C105</f>
        <v>Providing and fixing of  well seasoned, best available Country , vengai  wood frame or equalant  for doors, windows, ventilators and any other similar joinery works of approved size and as per drawing detail. All exposed wooden surfaces are duly finished with melamine polish after sanding &amp; filler the surface to get a smooth finish of required level. The rate shall be inclusive of making necessary design as per drawing, in the frame and necessary hold fastener and hardware ect, The rate shall be inclusive of supply and fixing of 6 nos MS flat iron holdfast for each door of size 40mmx3mm and 40CM long fixing with CC 1:2:4 and 75mm long 10mm dia anchor fastener to RCC location where ever required. Finishes shall made at Factory only installation at site as complete with all respects complying with relevant standard specification, as directed by the departmental officers</v>
      </c>
      <c r="E523" s="170"/>
      <c r="F523" s="170"/>
      <c r="G523" s="195"/>
    </row>
    <row r="524" spans="1:7" ht="18">
      <c r="A524" s="226"/>
      <c r="B524" s="368"/>
      <c r="C524" s="368"/>
      <c r="D524" s="369" t="s">
        <v>278</v>
      </c>
      <c r="E524" s="172"/>
      <c r="F524" s="368"/>
      <c r="G524" s="370"/>
    </row>
    <row r="525" spans="1:7" ht="18">
      <c r="A525" s="226"/>
      <c r="B525" s="368">
        <v>1</v>
      </c>
      <c r="C525" s="368" t="s">
        <v>52</v>
      </c>
      <c r="D525" s="371" t="s">
        <v>277</v>
      </c>
      <c r="E525" s="172">
        <f>Material!D13</f>
        <v>12980</v>
      </c>
      <c r="F525" s="368" t="s">
        <v>52</v>
      </c>
      <c r="G525" s="303">
        <f>B525*E525</f>
        <v>12980</v>
      </c>
    </row>
    <row r="526" spans="1:7" ht="18">
      <c r="A526" s="226"/>
      <c r="B526" s="368">
        <v>35</v>
      </c>
      <c r="C526" s="368" t="s">
        <v>9</v>
      </c>
      <c r="D526" s="371" t="s">
        <v>527</v>
      </c>
      <c r="E526" s="172">
        <f>Material!D38</f>
        <v>648</v>
      </c>
      <c r="F526" s="368" t="s">
        <v>9</v>
      </c>
      <c r="G526" s="303">
        <f>B526*E526</f>
        <v>22680</v>
      </c>
    </row>
    <row r="527" spans="1:7" ht="18">
      <c r="A527" s="226"/>
      <c r="B527" s="368">
        <v>1</v>
      </c>
      <c r="C527" s="368" t="s">
        <v>52</v>
      </c>
      <c r="D527" s="371" t="s">
        <v>276</v>
      </c>
      <c r="E527" s="172">
        <f>Material!D16</f>
        <v>34300</v>
      </c>
      <c r="F527" s="368" t="s">
        <v>52</v>
      </c>
      <c r="G527" s="303">
        <f>B527*E527</f>
        <v>34300</v>
      </c>
    </row>
    <row r="528" spans="1:7" ht="18">
      <c r="A528" s="226"/>
      <c r="B528" s="368"/>
      <c r="C528" s="368"/>
      <c r="D528" s="371" t="s">
        <v>271</v>
      </c>
      <c r="E528" s="368"/>
      <c r="F528" s="368" t="s">
        <v>159</v>
      </c>
      <c r="G528" s="303">
        <v>6</v>
      </c>
    </row>
    <row r="529" spans="1:7" ht="18">
      <c r="A529" s="226"/>
      <c r="B529" s="368"/>
      <c r="C529" s="368"/>
      <c r="D529" s="369" t="s">
        <v>275</v>
      </c>
      <c r="E529" s="368"/>
      <c r="F529" s="368"/>
      <c r="G529" s="372">
        <f>SUM(G525:G528)</f>
        <v>69966</v>
      </c>
    </row>
    <row r="530" spans="1:7" ht="18">
      <c r="A530" s="226"/>
      <c r="B530" s="368"/>
      <c r="C530" s="368"/>
      <c r="D530" s="373"/>
      <c r="E530" s="368"/>
      <c r="F530" s="368"/>
      <c r="G530" s="370"/>
    </row>
    <row r="531" spans="1:7" ht="252">
      <c r="A531" s="168">
        <f>A523+1</f>
        <v>18</v>
      </c>
      <c r="B531" s="368"/>
      <c r="C531" s="368"/>
      <c r="D531" s="277" t="str">
        <f>'BOQ-C&amp;I'!C106</f>
        <v xml:space="preserve">Providing and fixing of  well seasoned, best available teak wood frame for doors, windows, ventilators and any other similar joinery works of approved size and as per drawing detail. All exposed wooden surfaces are duly polished with melamine polish of required level. The rate shall be inclusive of making necessary design as per drawing, in the frame and necessary hold fastener and hardware ect, The rate shall be inclusive of supply and fixing of 6 nos MS flat iron holdfast for each door of size 40mmx3mm and 40CM long fixing with CC 1:2:4 and 75mm long 10mm dia anchor fastener to RCC location where ever required. Finishes shall made at Factory only installation at site as complete with all respects complying with relevant standard specification, as directed by the departmental officers. </v>
      </c>
      <c r="E531" s="368"/>
      <c r="F531" s="368"/>
      <c r="G531" s="370"/>
    </row>
    <row r="532" spans="1:7" ht="20.25">
      <c r="A532" s="226" t="s">
        <v>71</v>
      </c>
      <c r="B532" s="374">
        <v>1</v>
      </c>
      <c r="C532" s="375" t="s">
        <v>1623</v>
      </c>
      <c r="D532" s="376" t="s">
        <v>274</v>
      </c>
      <c r="E532" s="192">
        <f>Material!D14</f>
        <v>99400</v>
      </c>
      <c r="F532" s="227" t="s">
        <v>1624</v>
      </c>
      <c r="G532" s="306">
        <f>B532*E532</f>
        <v>99400</v>
      </c>
    </row>
    <row r="533" spans="1:7" ht="18">
      <c r="A533" s="226"/>
      <c r="B533" s="368">
        <v>35</v>
      </c>
      <c r="C533" s="368" t="s">
        <v>9</v>
      </c>
      <c r="D533" s="371" t="s">
        <v>527</v>
      </c>
      <c r="E533" s="192">
        <f>E526</f>
        <v>648</v>
      </c>
      <c r="F533" s="368" t="s">
        <v>9</v>
      </c>
      <c r="G533" s="371">
        <f>B533*E533</f>
        <v>22680</v>
      </c>
    </row>
    <row r="534" spans="1:7" ht="20.25">
      <c r="A534" s="226"/>
      <c r="B534" s="227">
        <v>1</v>
      </c>
      <c r="C534" s="222" t="s">
        <v>1623</v>
      </c>
      <c r="D534" s="285" t="s">
        <v>272</v>
      </c>
      <c r="E534" s="172">
        <f>Material!D13</f>
        <v>12980</v>
      </c>
      <c r="F534" s="227" t="s">
        <v>1624</v>
      </c>
      <c r="G534" s="228">
        <f>B534*E534</f>
        <v>12980</v>
      </c>
    </row>
    <row r="535" spans="1:7" ht="20.25">
      <c r="A535" s="226"/>
      <c r="B535" s="227">
        <v>1</v>
      </c>
      <c r="C535" s="222" t="s">
        <v>1623</v>
      </c>
      <c r="D535" s="285" t="s">
        <v>1469</v>
      </c>
      <c r="E535" s="172">
        <f>E534*10%</f>
        <v>1298</v>
      </c>
      <c r="F535" s="227" t="s">
        <v>1624</v>
      </c>
      <c r="G535" s="228">
        <f>E535</f>
        <v>1298</v>
      </c>
    </row>
    <row r="536" spans="1:7" ht="18">
      <c r="A536" s="226"/>
      <c r="B536" s="222"/>
      <c r="C536" s="222"/>
      <c r="D536" s="285" t="s">
        <v>271</v>
      </c>
      <c r="E536" s="172" t="s">
        <v>159</v>
      </c>
      <c r="F536" s="222"/>
      <c r="G536" s="228">
        <v>6.5</v>
      </c>
    </row>
    <row r="537" spans="1:7" ht="20.25">
      <c r="A537" s="226"/>
      <c r="B537" s="377"/>
      <c r="C537" s="377"/>
      <c r="D537" s="378" t="s">
        <v>1625</v>
      </c>
      <c r="E537" s="379"/>
      <c r="F537" s="377"/>
      <c r="G537" s="225">
        <f>SUM(G532:G536)</f>
        <v>136364.5</v>
      </c>
    </row>
    <row r="538" spans="1:7" ht="18">
      <c r="A538" s="226"/>
      <c r="B538" s="377"/>
      <c r="C538" s="377"/>
      <c r="D538" s="378"/>
      <c r="E538" s="379"/>
      <c r="F538" s="377"/>
      <c r="G538" s="225"/>
    </row>
    <row r="539" spans="1:7" ht="20.25">
      <c r="A539" s="226" t="s">
        <v>70</v>
      </c>
      <c r="B539" s="374">
        <v>1</v>
      </c>
      <c r="C539" s="375" t="s">
        <v>1623</v>
      </c>
      <c r="D539" s="376" t="s">
        <v>273</v>
      </c>
      <c r="E539" s="192">
        <f>+Material!D15</f>
        <v>111600</v>
      </c>
      <c r="F539" s="227" t="s">
        <v>1624</v>
      </c>
      <c r="G539" s="306">
        <f>B539*E539</f>
        <v>111600</v>
      </c>
    </row>
    <row r="540" spans="1:7" ht="18">
      <c r="A540" s="226"/>
      <c r="B540" s="368">
        <v>35</v>
      </c>
      <c r="C540" s="368" t="s">
        <v>9</v>
      </c>
      <c r="D540" s="371" t="s">
        <v>527</v>
      </c>
      <c r="E540" s="192">
        <v>642</v>
      </c>
      <c r="F540" s="368" t="s">
        <v>9</v>
      </c>
      <c r="G540" s="371">
        <f>B540*E540</f>
        <v>22470</v>
      </c>
    </row>
    <row r="541" spans="1:7" ht="20.25">
      <c r="A541" s="226"/>
      <c r="B541" s="227">
        <v>1</v>
      </c>
      <c r="C541" s="222" t="s">
        <v>1623</v>
      </c>
      <c r="D541" s="285" t="s">
        <v>272</v>
      </c>
      <c r="E541" s="172">
        <f>+E534</f>
        <v>12980</v>
      </c>
      <c r="F541" s="227" t="s">
        <v>1624</v>
      </c>
      <c r="G541" s="228">
        <f>B541*E541</f>
        <v>12980</v>
      </c>
    </row>
    <row r="542" spans="1:7" ht="20.25">
      <c r="A542" s="226"/>
      <c r="B542" s="227">
        <v>1</v>
      </c>
      <c r="C542" s="222" t="s">
        <v>1623</v>
      </c>
      <c r="D542" s="285" t="s">
        <v>1469</v>
      </c>
      <c r="E542" s="172">
        <f>E541*10%</f>
        <v>1298</v>
      </c>
      <c r="F542" s="227"/>
      <c r="G542" s="228">
        <f>E542</f>
        <v>1298</v>
      </c>
    </row>
    <row r="543" spans="1:7" ht="18">
      <c r="A543" s="226"/>
      <c r="B543" s="222"/>
      <c r="C543" s="222"/>
      <c r="D543" s="285" t="s">
        <v>271</v>
      </c>
      <c r="E543" s="172" t="s">
        <v>159</v>
      </c>
      <c r="F543" s="222"/>
      <c r="G543" s="228">
        <v>6.5</v>
      </c>
    </row>
    <row r="544" spans="1:7" ht="20.25">
      <c r="A544" s="226"/>
      <c r="B544" s="377"/>
      <c r="C544" s="377"/>
      <c r="D544" s="378" t="s">
        <v>1625</v>
      </c>
      <c r="E544" s="380"/>
      <c r="F544" s="377"/>
      <c r="G544" s="225">
        <f>SUM(G539:G543)</f>
        <v>148354.5</v>
      </c>
    </row>
    <row r="545" spans="1:7" ht="18">
      <c r="A545" s="168"/>
      <c r="B545" s="230"/>
      <c r="C545" s="170"/>
      <c r="D545" s="381"/>
      <c r="E545" s="382"/>
      <c r="F545" s="170"/>
      <c r="G545" s="171"/>
    </row>
    <row r="546" spans="1:7" ht="126">
      <c r="A546" s="168">
        <f>+A531+1</f>
        <v>19</v>
      </c>
      <c r="B546" s="230"/>
      <c r="C546" s="170"/>
      <c r="D546" s="277" t="str">
        <f>'BOQ-C&amp;I'!C110</f>
        <v xml:space="preserve">Supplying and fixing of Solid Core Flush shutters with commercial ply on both side with teakwook lipping alround 35mm thick, Alround fully Teak wood Beading 35mm x 12mm, 125mm x 30mm  butt hinges - 3 No's, 150mm x 12mm Tower bolt - 2 No's, 5" Aldrop -1 No, 'D' type Handle 100mm - 2 No's,Rubber Bush - 40mm dia and 60mm long with required screws - 1 No etc </v>
      </c>
      <c r="E546" s="382"/>
      <c r="F546" s="170"/>
      <c r="G546" s="171"/>
    </row>
    <row r="547" spans="1:7" ht="54">
      <c r="A547" s="168"/>
      <c r="B547" s="230"/>
      <c r="C547" s="170"/>
      <c r="D547" s="272" t="s">
        <v>1715</v>
      </c>
      <c r="E547" s="382"/>
      <c r="F547" s="170"/>
      <c r="G547" s="171"/>
    </row>
    <row r="548" spans="1:7" ht="18">
      <c r="A548" s="168"/>
      <c r="B548" s="230">
        <v>1.44</v>
      </c>
      <c r="C548" s="170" t="s">
        <v>1540</v>
      </c>
      <c r="D548" s="277" t="s">
        <v>1716</v>
      </c>
      <c r="E548" s="172">
        <f>Material!D59</f>
        <v>147.5</v>
      </c>
      <c r="F548" s="170"/>
      <c r="G548" s="306">
        <f>B548*E548</f>
        <v>212.4</v>
      </c>
    </row>
    <row r="549" spans="1:7" ht="18">
      <c r="A549" s="168"/>
      <c r="B549" s="230">
        <v>0.7</v>
      </c>
      <c r="C549" s="170" t="s">
        <v>2</v>
      </c>
      <c r="D549" s="277" t="s">
        <v>1717</v>
      </c>
      <c r="E549" s="192">
        <f>Labour!E8</f>
        <v>756</v>
      </c>
      <c r="F549" s="170"/>
      <c r="G549" s="306">
        <f t="shared" ref="G549:G551" si="11">B549*E549</f>
        <v>529.19999999999993</v>
      </c>
    </row>
    <row r="550" spans="1:7" ht="18">
      <c r="A550" s="168"/>
      <c r="B550" s="230">
        <v>2.5499999999999998</v>
      </c>
      <c r="C550" s="170" t="s">
        <v>2</v>
      </c>
      <c r="D550" s="277" t="s">
        <v>1718</v>
      </c>
      <c r="E550" s="192">
        <f>Material!D60</f>
        <v>238.9</v>
      </c>
      <c r="F550" s="170"/>
      <c r="G550" s="306">
        <f t="shared" si="11"/>
        <v>609.19499999999994</v>
      </c>
    </row>
    <row r="551" spans="1:7" ht="18">
      <c r="A551" s="168"/>
      <c r="B551" s="230">
        <v>1.2</v>
      </c>
      <c r="C551" s="170" t="s">
        <v>2</v>
      </c>
      <c r="D551" s="277" t="s">
        <v>1717</v>
      </c>
      <c r="E551" s="192">
        <f>Labour!E8</f>
        <v>756</v>
      </c>
      <c r="F551" s="170"/>
      <c r="G551" s="306">
        <f t="shared" si="11"/>
        <v>907.19999999999993</v>
      </c>
    </row>
    <row r="552" spans="1:7" ht="18">
      <c r="A552" s="168"/>
      <c r="B552" s="230"/>
      <c r="C552" s="170"/>
      <c r="D552" s="277" t="s">
        <v>1719</v>
      </c>
      <c r="E552" s="192">
        <v>1.5</v>
      </c>
      <c r="F552" s="170"/>
      <c r="G552" s="228">
        <f t="shared" ref="G552" si="12">E552</f>
        <v>1.5</v>
      </c>
    </row>
    <row r="553" spans="1:7" ht="18">
      <c r="A553" s="168"/>
      <c r="B553" s="230"/>
      <c r="C553" s="170"/>
      <c r="D553" s="277" t="s">
        <v>1723</v>
      </c>
      <c r="E553" s="192"/>
      <c r="F553" s="170"/>
      <c r="G553" s="171">
        <f>SUM(G548:G552)</f>
        <v>2259.4949999999999</v>
      </c>
    </row>
    <row r="554" spans="1:7" ht="18">
      <c r="A554" s="168"/>
      <c r="B554" s="230"/>
      <c r="C554" s="170"/>
      <c r="D554" s="272" t="s">
        <v>270</v>
      </c>
      <c r="E554" s="382"/>
      <c r="F554" s="170"/>
      <c r="G554" s="171">
        <f>G553/10</f>
        <v>225.9495</v>
      </c>
    </row>
    <row r="555" spans="1:7" ht="18">
      <c r="A555" s="168"/>
      <c r="B555" s="230"/>
      <c r="C555" s="170"/>
      <c r="D555" s="277"/>
      <c r="E555" s="382"/>
      <c r="F555" s="170"/>
      <c r="G555" s="171"/>
    </row>
    <row r="556" spans="1:7" ht="18">
      <c r="A556" s="168" t="s">
        <v>71</v>
      </c>
      <c r="B556" s="230"/>
      <c r="C556" s="170"/>
      <c r="D556" s="272" t="s">
        <v>1677</v>
      </c>
      <c r="E556" s="382"/>
      <c r="F556" s="170"/>
      <c r="G556" s="171"/>
    </row>
    <row r="557" spans="1:7" ht="18">
      <c r="A557" s="168"/>
      <c r="B557" s="230"/>
      <c r="C557" s="170"/>
      <c r="D557" s="277" t="s">
        <v>1678</v>
      </c>
      <c r="E557" s="382"/>
      <c r="F557" s="170"/>
      <c r="G557" s="171"/>
    </row>
    <row r="558" spans="1:7" ht="18">
      <c r="A558" s="168"/>
      <c r="B558" s="230">
        <f>0.9*2.025</f>
        <v>1.8225</v>
      </c>
      <c r="C558" s="368" t="s">
        <v>9</v>
      </c>
      <c r="D558" s="277" t="s">
        <v>1679</v>
      </c>
      <c r="E558" s="192">
        <f>Material!D$45</f>
        <v>2225</v>
      </c>
      <c r="F558" s="170"/>
      <c r="G558" s="306">
        <f>B558*E558</f>
        <v>4055.0625</v>
      </c>
    </row>
    <row r="559" spans="1:7" ht="18">
      <c r="A559" s="168"/>
      <c r="B559" s="230">
        <f>0.9*2.025</f>
        <v>1.8225</v>
      </c>
      <c r="C559" s="368" t="s">
        <v>9</v>
      </c>
      <c r="D559" s="277" t="s">
        <v>1680</v>
      </c>
      <c r="E559" s="192">
        <f>Labour!E$29</f>
        <v>203</v>
      </c>
      <c r="F559" s="170"/>
      <c r="G559" s="306">
        <f t="shared" ref="G559:G567" si="13">B559*E559</f>
        <v>369.96750000000003</v>
      </c>
    </row>
    <row r="560" spans="1:7" ht="18">
      <c r="A560" s="168"/>
      <c r="B560" s="230">
        <v>2</v>
      </c>
      <c r="C560" s="368" t="s">
        <v>51</v>
      </c>
      <c r="D560" s="277" t="s">
        <v>1681</v>
      </c>
      <c r="E560" s="192">
        <f>Material!D$48</f>
        <v>57.65</v>
      </c>
      <c r="F560" s="170"/>
      <c r="G560" s="306">
        <f t="shared" si="13"/>
        <v>115.3</v>
      </c>
    </row>
    <row r="561" spans="1:7" ht="18">
      <c r="A561" s="168"/>
      <c r="B561" s="230">
        <v>3</v>
      </c>
      <c r="C561" s="368" t="s">
        <v>51</v>
      </c>
      <c r="D561" s="277" t="s">
        <v>1682</v>
      </c>
      <c r="E561" s="192">
        <f>Material!D$51</f>
        <v>89.6</v>
      </c>
      <c r="F561" s="170"/>
      <c r="G561" s="306">
        <f t="shared" si="13"/>
        <v>268.79999999999995</v>
      </c>
    </row>
    <row r="562" spans="1:7" ht="18">
      <c r="A562" s="168"/>
      <c r="B562" s="230">
        <v>2</v>
      </c>
      <c r="C562" s="368" t="s">
        <v>51</v>
      </c>
      <c r="D562" s="277" t="s">
        <v>1683</v>
      </c>
      <c r="E562" s="192">
        <f>Material!D$53</f>
        <v>64.8</v>
      </c>
      <c r="F562" s="170"/>
      <c r="G562" s="306">
        <f t="shared" si="13"/>
        <v>129.6</v>
      </c>
    </row>
    <row r="563" spans="1:7" ht="18">
      <c r="A563" s="168"/>
      <c r="B563" s="230">
        <v>1</v>
      </c>
      <c r="C563" s="368" t="s">
        <v>51</v>
      </c>
      <c r="D563" s="277" t="s">
        <v>1684</v>
      </c>
      <c r="E563" s="192">
        <f>Material!D$55</f>
        <v>181</v>
      </c>
      <c r="F563" s="170"/>
      <c r="G563" s="306">
        <f t="shared" si="13"/>
        <v>181</v>
      </c>
    </row>
    <row r="564" spans="1:7" ht="18">
      <c r="A564" s="168"/>
      <c r="B564" s="230">
        <v>92</v>
      </c>
      <c r="C564" s="368" t="s">
        <v>51</v>
      </c>
      <c r="D564" s="277" t="s">
        <v>1685</v>
      </c>
      <c r="E564" s="192">
        <f>Material!D$56</f>
        <v>2.41</v>
      </c>
      <c r="F564" s="170"/>
      <c r="G564" s="306">
        <f t="shared" si="13"/>
        <v>221.72000000000003</v>
      </c>
    </row>
    <row r="565" spans="1:7" ht="18">
      <c r="A565" s="168"/>
      <c r="B565" s="230">
        <v>1</v>
      </c>
      <c r="C565" s="368" t="s">
        <v>51</v>
      </c>
      <c r="D565" s="277" t="s">
        <v>1686</v>
      </c>
      <c r="E565" s="192">
        <f>Material!D$57</f>
        <v>23.1</v>
      </c>
      <c r="F565" s="170"/>
      <c r="G565" s="306">
        <f t="shared" si="13"/>
        <v>23.1</v>
      </c>
    </row>
    <row r="566" spans="1:7" ht="18">
      <c r="A566" s="168"/>
      <c r="B566" s="230">
        <v>1</v>
      </c>
      <c r="C566" s="368" t="s">
        <v>51</v>
      </c>
      <c r="D566" s="277" t="s">
        <v>1687</v>
      </c>
      <c r="E566" s="192">
        <f>Material!D$58</f>
        <v>49.55</v>
      </c>
      <c r="F566" s="170"/>
      <c r="G566" s="306">
        <f t="shared" si="13"/>
        <v>49.55</v>
      </c>
    </row>
    <row r="567" spans="1:7" ht="18">
      <c r="A567" s="168"/>
      <c r="B567" s="230">
        <v>0.35</v>
      </c>
      <c r="C567" s="170" t="s">
        <v>9</v>
      </c>
      <c r="D567" s="277" t="s">
        <v>1688</v>
      </c>
      <c r="E567" s="192">
        <f>G$554</f>
        <v>225.9495</v>
      </c>
      <c r="F567" s="170"/>
      <c r="G567" s="306">
        <f t="shared" si="13"/>
        <v>79.082324999999997</v>
      </c>
    </row>
    <row r="568" spans="1:7" ht="18">
      <c r="A568" s="168"/>
      <c r="B568" s="230"/>
      <c r="C568" s="170"/>
      <c r="D568" s="277" t="s">
        <v>1714</v>
      </c>
      <c r="E568" s="382"/>
      <c r="F568" s="170"/>
      <c r="G568" s="171">
        <f>SUM(G558:G567)</f>
        <v>5493.1823250000016</v>
      </c>
    </row>
    <row r="569" spans="1:7" ht="18">
      <c r="A569" s="168"/>
      <c r="B569" s="230"/>
      <c r="C569" s="170"/>
      <c r="D569" s="272" t="s">
        <v>270</v>
      </c>
      <c r="E569" s="382"/>
      <c r="F569" s="170"/>
      <c r="G569" s="171">
        <f>G568/B558</f>
        <v>3014.0918106995891</v>
      </c>
    </row>
    <row r="570" spans="1:7" ht="18">
      <c r="A570" s="168"/>
      <c r="B570" s="230"/>
      <c r="C570" s="170"/>
      <c r="D570" s="272"/>
      <c r="E570" s="382"/>
      <c r="F570" s="170"/>
      <c r="G570" s="171"/>
    </row>
    <row r="571" spans="1:7" ht="18">
      <c r="A571" s="168" t="s">
        <v>70</v>
      </c>
      <c r="B571" s="230"/>
      <c r="C571" s="170"/>
      <c r="D571" s="272" t="s">
        <v>1726</v>
      </c>
      <c r="E571" s="382"/>
      <c r="F571" s="170"/>
      <c r="G571" s="171"/>
    </row>
    <row r="572" spans="1:7" ht="18">
      <c r="A572" s="168"/>
      <c r="B572" s="230"/>
      <c r="C572" s="170"/>
      <c r="D572" s="277" t="s">
        <v>1724</v>
      </c>
      <c r="E572" s="382"/>
      <c r="F572" s="170"/>
      <c r="G572" s="171"/>
    </row>
    <row r="573" spans="1:7" ht="18">
      <c r="A573" s="168"/>
      <c r="B573" s="230">
        <f>0.8*2.025</f>
        <v>1.62</v>
      </c>
      <c r="C573" s="368" t="s">
        <v>9</v>
      </c>
      <c r="D573" s="277" t="s">
        <v>1679</v>
      </c>
      <c r="E573" s="192">
        <f>Material!D$45</f>
        <v>2225</v>
      </c>
      <c r="F573" s="170"/>
      <c r="G573" s="306">
        <f>B573*E573</f>
        <v>3604.5000000000005</v>
      </c>
    </row>
    <row r="574" spans="1:7" ht="18">
      <c r="A574" s="168"/>
      <c r="B574" s="230">
        <f>0.8*2.025</f>
        <v>1.62</v>
      </c>
      <c r="C574" s="368" t="s">
        <v>9</v>
      </c>
      <c r="D574" s="277" t="s">
        <v>1680</v>
      </c>
      <c r="E574" s="192">
        <f>Labour!E$29</f>
        <v>203</v>
      </c>
      <c r="F574" s="170"/>
      <c r="G574" s="306">
        <f t="shared" ref="G574:G582" si="14">B574*E574</f>
        <v>328.86</v>
      </c>
    </row>
    <row r="575" spans="1:7" ht="18">
      <c r="A575" s="168"/>
      <c r="B575" s="230">
        <v>2</v>
      </c>
      <c r="C575" s="368" t="s">
        <v>51</v>
      </c>
      <c r="D575" s="277" t="s">
        <v>1681</v>
      </c>
      <c r="E575" s="192">
        <f>Material!D$48</f>
        <v>57.65</v>
      </c>
      <c r="F575" s="170"/>
      <c r="G575" s="306">
        <f t="shared" si="14"/>
        <v>115.3</v>
      </c>
    </row>
    <row r="576" spans="1:7" ht="18">
      <c r="A576" s="168"/>
      <c r="B576" s="230">
        <v>3</v>
      </c>
      <c r="C576" s="368" t="s">
        <v>51</v>
      </c>
      <c r="D576" s="277" t="s">
        <v>1682</v>
      </c>
      <c r="E576" s="192">
        <f>Material!D$51</f>
        <v>89.6</v>
      </c>
      <c r="F576" s="170"/>
      <c r="G576" s="306">
        <f t="shared" si="14"/>
        <v>268.79999999999995</v>
      </c>
    </row>
    <row r="577" spans="1:7" ht="18">
      <c r="A577" s="168"/>
      <c r="B577" s="230">
        <v>2</v>
      </c>
      <c r="C577" s="368" t="s">
        <v>51</v>
      </c>
      <c r="D577" s="277" t="s">
        <v>1683</v>
      </c>
      <c r="E577" s="192">
        <f>Material!D$53</f>
        <v>64.8</v>
      </c>
      <c r="F577" s="170"/>
      <c r="G577" s="306">
        <f t="shared" si="14"/>
        <v>129.6</v>
      </c>
    </row>
    <row r="578" spans="1:7" ht="18">
      <c r="A578" s="168"/>
      <c r="B578" s="230">
        <v>1</v>
      </c>
      <c r="C578" s="368" t="s">
        <v>51</v>
      </c>
      <c r="D578" s="277" t="s">
        <v>1684</v>
      </c>
      <c r="E578" s="192">
        <f>Material!D$55</f>
        <v>181</v>
      </c>
      <c r="F578" s="170"/>
      <c r="G578" s="306">
        <f t="shared" si="14"/>
        <v>181</v>
      </c>
    </row>
    <row r="579" spans="1:7" ht="18">
      <c r="A579" s="168"/>
      <c r="B579" s="230">
        <v>92</v>
      </c>
      <c r="C579" s="368" t="s">
        <v>51</v>
      </c>
      <c r="D579" s="277" t="s">
        <v>1685</v>
      </c>
      <c r="E579" s="192">
        <f>Material!D$56</f>
        <v>2.41</v>
      </c>
      <c r="F579" s="170"/>
      <c r="G579" s="306">
        <f t="shared" si="14"/>
        <v>221.72000000000003</v>
      </c>
    </row>
    <row r="580" spans="1:7" ht="18">
      <c r="A580" s="168"/>
      <c r="B580" s="230">
        <v>1</v>
      </c>
      <c r="C580" s="368" t="s">
        <v>51</v>
      </c>
      <c r="D580" s="277" t="s">
        <v>1686</v>
      </c>
      <c r="E580" s="192">
        <f>Material!D$57</f>
        <v>23.1</v>
      </c>
      <c r="F580" s="170"/>
      <c r="G580" s="306">
        <f t="shared" si="14"/>
        <v>23.1</v>
      </c>
    </row>
    <row r="581" spans="1:7" ht="18">
      <c r="A581" s="168"/>
      <c r="B581" s="230">
        <v>1</v>
      </c>
      <c r="C581" s="368" t="s">
        <v>51</v>
      </c>
      <c r="D581" s="277" t="s">
        <v>1687</v>
      </c>
      <c r="E581" s="192">
        <f>Material!D$58</f>
        <v>49.55</v>
      </c>
      <c r="F581" s="170"/>
      <c r="G581" s="306">
        <f t="shared" si="14"/>
        <v>49.55</v>
      </c>
    </row>
    <row r="582" spans="1:7" ht="18">
      <c r="A582" s="168"/>
      <c r="B582" s="230">
        <v>0.35</v>
      </c>
      <c r="C582" s="170" t="s">
        <v>9</v>
      </c>
      <c r="D582" s="277" t="s">
        <v>1688</v>
      </c>
      <c r="E582" s="192">
        <f>G$554</f>
        <v>225.9495</v>
      </c>
      <c r="F582" s="170"/>
      <c r="G582" s="306">
        <f t="shared" si="14"/>
        <v>79.082324999999997</v>
      </c>
    </row>
    <row r="583" spans="1:7" ht="18">
      <c r="A583" s="168"/>
      <c r="B583" s="230"/>
      <c r="C583" s="170"/>
      <c r="D583" s="277" t="s">
        <v>1714</v>
      </c>
      <c r="E583" s="382"/>
      <c r="F583" s="170"/>
      <c r="G583" s="171">
        <f>SUM(G573:G582)</f>
        <v>5001.5123250000024</v>
      </c>
    </row>
    <row r="584" spans="1:7" ht="18">
      <c r="A584" s="168"/>
      <c r="B584" s="230"/>
      <c r="C584" s="170"/>
      <c r="D584" s="272" t="s">
        <v>270</v>
      </c>
      <c r="E584" s="382"/>
      <c r="F584" s="170"/>
      <c r="G584" s="171">
        <f>G583/B573</f>
        <v>3087.3532870370382</v>
      </c>
    </row>
    <row r="585" spans="1:7" ht="18">
      <c r="A585" s="168"/>
      <c r="B585" s="230"/>
      <c r="C585" s="170"/>
      <c r="D585" s="272"/>
      <c r="E585" s="382"/>
      <c r="F585" s="170"/>
      <c r="G585" s="171"/>
    </row>
    <row r="586" spans="1:7" ht="18">
      <c r="A586" s="168" t="s">
        <v>69</v>
      </c>
      <c r="B586" s="230"/>
      <c r="C586" s="170"/>
      <c r="D586" s="272" t="s">
        <v>1725</v>
      </c>
      <c r="E586" s="382"/>
      <c r="F586" s="170"/>
      <c r="G586" s="171"/>
    </row>
    <row r="587" spans="1:7" ht="18">
      <c r="A587" s="168"/>
      <c r="B587" s="230"/>
      <c r="C587" s="170"/>
      <c r="D587" s="277" t="s">
        <v>1730</v>
      </c>
      <c r="E587" s="382"/>
      <c r="F587" s="170"/>
      <c r="G587" s="171"/>
    </row>
    <row r="588" spans="1:7" ht="18">
      <c r="A588" s="168"/>
      <c r="B588" s="230">
        <f>0.65*2.025</f>
        <v>1.3162499999999999</v>
      </c>
      <c r="C588" s="368" t="s">
        <v>9</v>
      </c>
      <c r="D588" s="277" t="s">
        <v>1679</v>
      </c>
      <c r="E588" s="192">
        <f>Material!D$45</f>
        <v>2225</v>
      </c>
      <c r="F588" s="170"/>
      <c r="G588" s="306">
        <f>B588*E588</f>
        <v>2928.65625</v>
      </c>
    </row>
    <row r="589" spans="1:7" ht="18">
      <c r="A589" s="168"/>
      <c r="B589" s="230">
        <f>0.65*2.025</f>
        <v>1.3162499999999999</v>
      </c>
      <c r="C589" s="368" t="s">
        <v>9</v>
      </c>
      <c r="D589" s="277" t="s">
        <v>1680</v>
      </c>
      <c r="E589" s="192">
        <f>Labour!E$29</f>
        <v>203</v>
      </c>
      <c r="F589" s="170"/>
      <c r="G589" s="306">
        <f t="shared" ref="G589:G597" si="15">B589*E589</f>
        <v>267.19874999999996</v>
      </c>
    </row>
    <row r="590" spans="1:7" ht="18">
      <c r="A590" s="168"/>
      <c r="B590" s="230">
        <v>2</v>
      </c>
      <c r="C590" s="368" t="s">
        <v>51</v>
      </c>
      <c r="D590" s="277" t="s">
        <v>1681</v>
      </c>
      <c r="E590" s="192">
        <f>Material!D$48</f>
        <v>57.65</v>
      </c>
      <c r="F590" s="170"/>
      <c r="G590" s="306">
        <f t="shared" si="15"/>
        <v>115.3</v>
      </c>
    </row>
    <row r="591" spans="1:7" ht="18">
      <c r="A591" s="168"/>
      <c r="B591" s="230">
        <v>3</v>
      </c>
      <c r="C591" s="368" t="s">
        <v>51</v>
      </c>
      <c r="D591" s="277" t="s">
        <v>1682</v>
      </c>
      <c r="E591" s="192">
        <f>Material!D$51</f>
        <v>89.6</v>
      </c>
      <c r="F591" s="170"/>
      <c r="G591" s="306">
        <f t="shared" si="15"/>
        <v>268.79999999999995</v>
      </c>
    </row>
    <row r="592" spans="1:7" ht="18">
      <c r="A592" s="168"/>
      <c r="B592" s="230">
        <v>2</v>
      </c>
      <c r="C592" s="368" t="s">
        <v>51</v>
      </c>
      <c r="D592" s="277" t="s">
        <v>1683</v>
      </c>
      <c r="E592" s="192">
        <f>Material!D$53</f>
        <v>64.8</v>
      </c>
      <c r="F592" s="170"/>
      <c r="G592" s="306">
        <f t="shared" si="15"/>
        <v>129.6</v>
      </c>
    </row>
    <row r="593" spans="1:8" ht="18">
      <c r="A593" s="168"/>
      <c r="B593" s="230">
        <v>1</v>
      </c>
      <c r="C593" s="368" t="s">
        <v>51</v>
      </c>
      <c r="D593" s="277" t="s">
        <v>1684</v>
      </c>
      <c r="E593" s="192">
        <f>Material!D$55</f>
        <v>181</v>
      </c>
      <c r="F593" s="170"/>
      <c r="G593" s="306">
        <f t="shared" si="15"/>
        <v>181</v>
      </c>
    </row>
    <row r="594" spans="1:8" ht="18">
      <c r="A594" s="168"/>
      <c r="B594" s="230">
        <v>92</v>
      </c>
      <c r="C594" s="368" t="s">
        <v>51</v>
      </c>
      <c r="D594" s="277" t="s">
        <v>1685</v>
      </c>
      <c r="E594" s="192">
        <f>Material!D$56</f>
        <v>2.41</v>
      </c>
      <c r="F594" s="170"/>
      <c r="G594" s="306">
        <f t="shared" si="15"/>
        <v>221.72000000000003</v>
      </c>
    </row>
    <row r="595" spans="1:8" ht="18">
      <c r="A595" s="168"/>
      <c r="B595" s="230">
        <v>1</v>
      </c>
      <c r="C595" s="368" t="s">
        <v>51</v>
      </c>
      <c r="D595" s="277" t="s">
        <v>1686</v>
      </c>
      <c r="E595" s="192">
        <f>Material!D$57</f>
        <v>23.1</v>
      </c>
      <c r="F595" s="170"/>
      <c r="G595" s="306">
        <f t="shared" si="15"/>
        <v>23.1</v>
      </c>
    </row>
    <row r="596" spans="1:8" ht="18">
      <c r="A596" s="168"/>
      <c r="B596" s="230">
        <v>1</v>
      </c>
      <c r="C596" s="368" t="s">
        <v>51</v>
      </c>
      <c r="D596" s="277" t="s">
        <v>1687</v>
      </c>
      <c r="E596" s="192">
        <f>Material!D$58</f>
        <v>49.55</v>
      </c>
      <c r="F596" s="170"/>
      <c r="G596" s="306">
        <f t="shared" si="15"/>
        <v>49.55</v>
      </c>
    </row>
    <row r="597" spans="1:8" ht="18">
      <c r="A597" s="168"/>
      <c r="B597" s="230">
        <v>0.35</v>
      </c>
      <c r="C597" s="170" t="s">
        <v>9</v>
      </c>
      <c r="D597" s="277" t="s">
        <v>1688</v>
      </c>
      <c r="E597" s="192">
        <f>G$554</f>
        <v>225.9495</v>
      </c>
      <c r="F597" s="170"/>
      <c r="G597" s="306">
        <f t="shared" si="15"/>
        <v>79.082324999999997</v>
      </c>
    </row>
    <row r="598" spans="1:8" ht="18">
      <c r="A598" s="168"/>
      <c r="B598" s="230"/>
      <c r="C598" s="170"/>
      <c r="D598" s="277" t="s">
        <v>1714</v>
      </c>
      <c r="E598" s="382"/>
      <c r="F598" s="170"/>
      <c r="G598" s="171">
        <f>SUM(G588:G597)</f>
        <v>4264.0073250000005</v>
      </c>
    </row>
    <row r="599" spans="1:8" ht="18">
      <c r="A599" s="168"/>
      <c r="B599" s="230"/>
      <c r="C599" s="170"/>
      <c r="D599" s="272" t="s">
        <v>270</v>
      </c>
      <c r="E599" s="382"/>
      <c r="F599" s="170"/>
      <c r="G599" s="171">
        <f>G598/B588</f>
        <v>3239.5117378917384</v>
      </c>
    </row>
    <row r="600" spans="1:8" s="383" customFormat="1" ht="18">
      <c r="A600" s="233"/>
      <c r="B600" s="230"/>
      <c r="C600" s="231"/>
      <c r="D600" s="178"/>
      <c r="E600" s="172"/>
      <c r="F600" s="231"/>
      <c r="G600" s="232"/>
      <c r="H600" s="384"/>
    </row>
    <row r="601" spans="1:8" ht="54">
      <c r="A601" s="168">
        <f>A546+1</f>
        <v>20</v>
      </c>
      <c r="B601" s="222"/>
      <c r="C601" s="222"/>
      <c r="D601" s="164" t="str">
        <f>'BOQ-C&amp;I'!C114</f>
        <v>Supply and fixing Fire rated door 2hr. rating hollow  metal  doors  -  Powder  Coated with vision panel of size 200 x 300mm.</v>
      </c>
      <c r="E601" s="224"/>
      <c r="F601" s="222"/>
      <c r="G601" s="225"/>
    </row>
    <row r="602" spans="1:8" ht="252">
      <c r="A602" s="226"/>
      <c r="B602" s="222"/>
      <c r="C602" s="222"/>
      <c r="D602" s="223" t="str">
        <f>'BOQ-C&amp;I'!C115</f>
        <v>Frame:a) Material - 1.60 mm max (16 gauge) galvanized steel sheets complying to IS 277 Code of GPL Grade with Z 120 Coating.b) Profile - Double Rebated Frame to be of dimensions 150 mm X 58 mm and Single Rebated Frame to be of dimensions 100mm x 58 mm.c) Manufacture - 1.60 / 1.2 mm thick galvanized steel sheet to the specified profiles and dimensions. Frames manufactured at factory shall be knock down form with mitered assembly at site.d) Door frame preparations – to be provided with back plates on all jambs with provision for anchor bolt fixing to wall openings. All frames to have reinforcement pads for fixing of door closer, at appropriate location as per manufacturer’s details.e) Frames to have factory finish-pre-punched cut outs to receive specific hardware andironmongery.</v>
      </c>
      <c r="E602" s="224"/>
      <c r="F602" s="222"/>
      <c r="G602" s="225"/>
    </row>
    <row r="603" spans="1:8" ht="162">
      <c r="A603" s="226"/>
      <c r="B603" s="222"/>
      <c r="C603" s="222"/>
      <c r="D603" s="223" t="str">
        <f>'BOQ-C&amp;I'!C116</f>
        <v>f) Frames to be provided with hinge plates 3 mm thick pre-drilled to receive hinges for screw mounted fixing. All cut outs including hinge plates, strike plates to have mortar guard covers from inside to prevent cement, dust ingress into cut outs at the time of grouting.g) Frames to have rubber shutter silencer on strike jambs for single shutter frames and on the head jambs for double shutter frames.h) Frames shall be finished with Pure Polyester Powder Coated to any RAL Shade to withstand 300 hours of salt spray.</v>
      </c>
      <c r="E603" s="224"/>
      <c r="F603" s="222"/>
      <c r="G603" s="225"/>
    </row>
    <row r="604" spans="1:8" ht="90">
      <c r="A604" s="274" t="s">
        <v>71</v>
      </c>
      <c r="B604" s="222"/>
      <c r="C604" s="222"/>
      <c r="D604" s="223" t="str">
        <f>'BOQ-C&amp;I'!C117</f>
        <v>2hrs.  Fire  rated  hollow  metal  doors  -  Powder  Coated single leaf door of size 1500x2150mm with vision panel of size 200 x 300mm.Hardware : SS Ball bearing hinges - 4"X3"X3mm, with Pull Handle 22x300mm D Type, 278 Dead Lock Package and TS 92 door closer</v>
      </c>
      <c r="E604" s="224"/>
      <c r="F604" s="222"/>
      <c r="G604" s="225"/>
    </row>
    <row r="605" spans="1:8" ht="18">
      <c r="A605" s="226"/>
      <c r="B605" s="177">
        <v>1</v>
      </c>
      <c r="C605" s="174" t="s">
        <v>2</v>
      </c>
      <c r="D605" s="178" t="s">
        <v>1879</v>
      </c>
      <c r="E605" s="192">
        <f>'Comparison - Annexure 03'!K13</f>
        <v>75411</v>
      </c>
      <c r="F605" s="174" t="s">
        <v>51</v>
      </c>
      <c r="G605" s="291">
        <f>E605*B605</f>
        <v>75411</v>
      </c>
    </row>
    <row r="606" spans="1:8" ht="54">
      <c r="A606" s="226"/>
      <c r="B606" s="177"/>
      <c r="C606" s="174"/>
      <c r="D606" s="178" t="str">
        <f>'BOQ-C&amp;I'!C118</f>
        <v>2hrs.  Fire  rated  hollow  metal  doors  -  Powder  Coated single leaf door of size 900x2150mm with vision panel of size 200 x 300mm.</v>
      </c>
      <c r="E606" s="192"/>
      <c r="F606" s="174"/>
      <c r="G606" s="291"/>
    </row>
    <row r="607" spans="1:8" ht="18">
      <c r="A607" s="274" t="s">
        <v>70</v>
      </c>
      <c r="B607" s="177">
        <v>1</v>
      </c>
      <c r="C607" s="174" t="s">
        <v>2</v>
      </c>
      <c r="D607" s="178" t="s">
        <v>1879</v>
      </c>
      <c r="E607" s="192">
        <f>'Comparison - Annexure 03'!K14</f>
        <v>22150</v>
      </c>
      <c r="F607" s="174" t="s">
        <v>51</v>
      </c>
      <c r="G607" s="291">
        <f>E607*B607</f>
        <v>22150</v>
      </c>
    </row>
    <row r="608" spans="1:8" ht="342">
      <c r="A608" s="168">
        <f>+A601+1</f>
        <v>21</v>
      </c>
      <c r="B608" s="222"/>
      <c r="C608" s="222"/>
      <c r="D608" s="223" t="str">
        <f>'BOQ-C&amp;I'!C119</f>
        <v>UPVC Sliding Window with SS meshProviding and fixing of Two and half track Sliding Window with SS Mesh using 108mm x 47mm outer frame with Window Sash of 56mm x 38mm frame screen sash of 52mm x 22mm and all sections shall reinforced with Galvanized Iron of 120 GSM profiles through out the window steel of 1mm in Frame and 1.5mm in Shutters.Composition of profile shall consists a minimum of 6 PHR of TiO₂ for every 100 parts of PVC resin. All Glazed shutters are fixed with 5mm thk clear glass with TPV gasket and co extruded beadings with single point locking system of flush lock, Profile thicknes of 2.2mm +_ 0.2mm. The rate shall be include for preaparing &amp; submitting shop drawings, calculations etc.. and for conducting the necessary test to check for water tightness at various heights etc.. and also inclusive of cost and conveyance of all materials, accessories, labour charges for transportation, erection at site complete for finished item of work, as complete with all respects complying with relevant standard codes &amp; specification, as directed by the Engineer-in-charge.</v>
      </c>
      <c r="E608" s="224"/>
      <c r="F608" s="222"/>
      <c r="G608" s="225"/>
    </row>
    <row r="609" spans="1:10" ht="18">
      <c r="A609" s="168"/>
      <c r="B609" s="222"/>
      <c r="C609" s="222"/>
      <c r="D609" s="178" t="s">
        <v>785</v>
      </c>
      <c r="E609" s="224"/>
      <c r="F609" s="222"/>
      <c r="G609" s="225"/>
    </row>
    <row r="610" spans="1:10" ht="18">
      <c r="A610" s="226"/>
      <c r="B610" s="227">
        <v>1</v>
      </c>
      <c r="C610" s="222" t="s">
        <v>51</v>
      </c>
      <c r="D610" s="178" t="s">
        <v>996</v>
      </c>
      <c r="E610" s="229">
        <f>'Comparison - Annexure 05'!K7</f>
        <v>9554</v>
      </c>
      <c r="F610" s="222" t="s">
        <v>51</v>
      </c>
      <c r="G610" s="228">
        <f>B610*E610</f>
        <v>9554</v>
      </c>
      <c r="I610" s="385"/>
      <c r="J610" s="385"/>
    </row>
    <row r="611" spans="1:10" ht="18">
      <c r="A611" s="226"/>
      <c r="B611" s="227">
        <v>1</v>
      </c>
      <c r="C611" s="222" t="s">
        <v>51</v>
      </c>
      <c r="D611" s="178" t="s">
        <v>997</v>
      </c>
      <c r="E611" s="229">
        <f>'Comparison - Annexure 05'!K8</f>
        <v>8437</v>
      </c>
      <c r="F611" s="222" t="s">
        <v>51</v>
      </c>
      <c r="G611" s="228">
        <f>B611*E611</f>
        <v>8437</v>
      </c>
      <c r="I611" s="385"/>
      <c r="J611" s="385"/>
    </row>
    <row r="612" spans="1:10" ht="18">
      <c r="A612" s="226"/>
      <c r="B612" s="227">
        <v>1</v>
      </c>
      <c r="C612" s="222" t="s">
        <v>51</v>
      </c>
      <c r="D612" s="178" t="s">
        <v>998</v>
      </c>
      <c r="E612" s="229">
        <f>'Comparison - Annexure 05'!K9</f>
        <v>7318</v>
      </c>
      <c r="F612" s="222" t="s">
        <v>51</v>
      </c>
      <c r="G612" s="228">
        <f>B612*E612</f>
        <v>7318</v>
      </c>
      <c r="I612" s="385"/>
      <c r="J612" s="385"/>
    </row>
    <row r="613" spans="1:10" ht="18">
      <c r="A613" s="226"/>
      <c r="B613" s="227">
        <v>1</v>
      </c>
      <c r="C613" s="222" t="s">
        <v>51</v>
      </c>
      <c r="D613" s="178" t="s">
        <v>999</v>
      </c>
      <c r="E613" s="229">
        <f>'Comparison - Annexure 05'!K10</f>
        <v>8019</v>
      </c>
      <c r="F613" s="222" t="s">
        <v>51</v>
      </c>
      <c r="G613" s="228">
        <f>B613*E613</f>
        <v>8019</v>
      </c>
      <c r="I613" s="385"/>
      <c r="J613" s="385"/>
    </row>
    <row r="614" spans="1:10" ht="18">
      <c r="A614" s="226"/>
      <c r="B614" s="227"/>
      <c r="C614" s="222"/>
      <c r="D614" s="178" t="s">
        <v>1485</v>
      </c>
      <c r="E614" s="229"/>
      <c r="F614" s="222"/>
      <c r="G614" s="225">
        <f>SUM(G610:G613)</f>
        <v>33328</v>
      </c>
      <c r="I614" s="276"/>
      <c r="J614" s="386"/>
    </row>
    <row r="615" spans="1:10" ht="18">
      <c r="A615" s="226"/>
      <c r="B615" s="227"/>
      <c r="C615" s="222"/>
      <c r="D615" s="178" t="s">
        <v>1486</v>
      </c>
      <c r="E615" s="229"/>
      <c r="F615" s="222" t="s">
        <v>9</v>
      </c>
      <c r="G615" s="225">
        <f>(1.5*1.25)+(1.2*1.25)+(0.9*1.25)+(1.5*0.95)</f>
        <v>5.9249999999999998</v>
      </c>
      <c r="I615" s="276"/>
    </row>
    <row r="616" spans="1:10" ht="18">
      <c r="A616" s="226"/>
      <c r="B616" s="227"/>
      <c r="C616" s="222"/>
      <c r="D616" s="286" t="s">
        <v>1487</v>
      </c>
      <c r="E616" s="229"/>
      <c r="F616" s="222"/>
      <c r="G616" s="225">
        <f>G614/G615</f>
        <v>5624.9789029535868</v>
      </c>
      <c r="I616" s="276"/>
    </row>
    <row r="617" spans="1:10" ht="18">
      <c r="A617" s="226"/>
      <c r="B617" s="227">
        <v>1</v>
      </c>
      <c r="C617" s="222" t="s">
        <v>51</v>
      </c>
      <c r="D617" s="178" t="s">
        <v>1480</v>
      </c>
      <c r="E617" s="229">
        <f>G$616*(1.5*0.75)</f>
        <v>6328.1012658227855</v>
      </c>
      <c r="F617" s="222" t="s">
        <v>51</v>
      </c>
      <c r="G617" s="228">
        <f>B617*E617</f>
        <v>6328.1012658227855</v>
      </c>
      <c r="I617" s="385"/>
      <c r="J617" s="385"/>
    </row>
    <row r="618" spans="1:10" ht="18">
      <c r="A618" s="226"/>
      <c r="B618" s="227">
        <v>1</v>
      </c>
      <c r="C618" s="222" t="s">
        <v>51</v>
      </c>
      <c r="D618" s="178" t="s">
        <v>1482</v>
      </c>
      <c r="E618" s="229">
        <f>G$616*(1.5*1.95)</f>
        <v>16453.063291139242</v>
      </c>
      <c r="F618" s="222" t="s">
        <v>51</v>
      </c>
      <c r="G618" s="228">
        <f>B618*E618</f>
        <v>16453.063291139242</v>
      </c>
    </row>
    <row r="619" spans="1:10" ht="18">
      <c r="A619" s="226"/>
      <c r="B619" s="227">
        <v>1</v>
      </c>
      <c r="C619" s="222" t="s">
        <v>51</v>
      </c>
      <c r="D619" s="178" t="s">
        <v>1483</v>
      </c>
      <c r="E619" s="229">
        <f>G$616*(2.15*1.2)</f>
        <v>14512.445569620251</v>
      </c>
      <c r="F619" s="222" t="s">
        <v>51</v>
      </c>
      <c r="G619" s="228">
        <f>B619*E619</f>
        <v>14512.445569620251</v>
      </c>
    </row>
    <row r="620" spans="1:10" ht="18">
      <c r="A620" s="226"/>
      <c r="B620" s="227">
        <v>1</v>
      </c>
      <c r="C620" s="222" t="s">
        <v>51</v>
      </c>
      <c r="D620" s="178" t="s">
        <v>1484</v>
      </c>
      <c r="E620" s="229">
        <f>G$616*(2.15*0.9)</f>
        <v>10884.334177215191</v>
      </c>
      <c r="F620" s="222" t="s">
        <v>51</v>
      </c>
      <c r="G620" s="228">
        <f>B620*E620</f>
        <v>10884.334177215191</v>
      </c>
    </row>
    <row r="621" spans="1:10" ht="252">
      <c r="A621" s="168">
        <f>A608+1</f>
        <v>22</v>
      </c>
      <c r="B621" s="222"/>
      <c r="C621" s="222"/>
      <c r="D621" s="277" t="str">
        <f>'BOQ-C&amp;I'!C127</f>
        <v>UPVC VentilatorSpecification:Supplying and fixing UPVC (Un-Plasticized Polyvinyl Chloride) Louvered Ventilators of from the profile the size of outer frame 60mm x 58mm and shutter profile size of 60 x 78mm both profiles are reinforced with GI/1mm 125GSM and 100% corrosion free, the profile are multi chambered sections with wall thick of 2mm. The EPDM rubber (black colour) covered with all over the edges of frame and shutter.The corners and joints should be welded and cleaned.Radiations pin headed glass 4mm thick should be provided in the louvers. The window should be fixed to the wall with 100% packing with screws and silicon packing all round the frames. The ventilator should be got approved from the Executive Engineer before use on work</v>
      </c>
      <c r="E621" s="224"/>
      <c r="F621" s="222"/>
      <c r="G621" s="225"/>
    </row>
    <row r="622" spans="1:10" ht="18">
      <c r="A622" s="168"/>
      <c r="B622" s="227">
        <v>1</v>
      </c>
      <c r="C622" s="222" t="s">
        <v>9</v>
      </c>
      <c r="D622" s="178" t="s">
        <v>525</v>
      </c>
      <c r="E622" s="229">
        <f>Material!D$22</f>
        <v>8106</v>
      </c>
      <c r="F622" s="222" t="s">
        <v>9</v>
      </c>
      <c r="G622" s="228">
        <f>B622*E622</f>
        <v>8106</v>
      </c>
    </row>
    <row r="623" spans="1:10" ht="20.25">
      <c r="A623" s="168"/>
      <c r="B623" s="387"/>
      <c r="C623" s="387"/>
      <c r="D623" s="388" t="s">
        <v>1626</v>
      </c>
      <c r="E623" s="389"/>
      <c r="F623" s="387"/>
      <c r="G623" s="225">
        <f>SUM(G622:G622)</f>
        <v>8106</v>
      </c>
    </row>
    <row r="624" spans="1:10" ht="18">
      <c r="A624" s="226"/>
      <c r="B624" s="169"/>
      <c r="C624" s="170"/>
      <c r="D624" s="381" t="s">
        <v>115</v>
      </c>
      <c r="E624" s="170"/>
      <c r="F624" s="170"/>
      <c r="G624" s="195"/>
    </row>
    <row r="625" spans="1:8" ht="216">
      <c r="A625" s="168">
        <f>A621+1</f>
        <v>23</v>
      </c>
      <c r="B625" s="169"/>
      <c r="C625" s="168"/>
      <c r="D625" s="273" t="str">
        <f>'BOQ-C&amp;I'!C130</f>
        <v>Manufacturing, Supplying and Fixing of Stainless Steel Handrails for staircase using 50mm dia 304L Grade Stainless Steel pipe of 1.60mm thick at required locations to a height of 900mm from finished floor level welded to 38mm dia Stainless Steel pipe post of 1.00mm thick as vertical at 900mm centre with 2 Nos. of 25mm dia intermediate horizontal stainless steel pipe of 1.60mm thick in between.The vertical pipe has to be welded to the 100 X 100 X 6mm MS base plate encased in the base concrete. The rate is inclusive of the charges for cutting, bending, welding, grinding, polishing, conveyance, electrical charges, etc. complete</v>
      </c>
      <c r="E625" s="168"/>
      <c r="F625" s="168"/>
      <c r="G625" s="195"/>
    </row>
    <row r="626" spans="1:8" ht="18">
      <c r="A626" s="168"/>
      <c r="B626" s="177">
        <v>1</v>
      </c>
      <c r="C626" s="174" t="s">
        <v>177</v>
      </c>
      <c r="D626" s="178" t="s">
        <v>603</v>
      </c>
      <c r="E626" s="192">
        <f>Material!D11</f>
        <v>5536</v>
      </c>
      <c r="F626" s="174" t="s">
        <v>177</v>
      </c>
      <c r="G626" s="291">
        <f>E626*B626</f>
        <v>5536</v>
      </c>
    </row>
    <row r="627" spans="1:8" ht="18">
      <c r="A627" s="168"/>
      <c r="B627" s="177"/>
      <c r="C627" s="174"/>
      <c r="D627" s="286" t="s">
        <v>269</v>
      </c>
      <c r="E627" s="192"/>
      <c r="F627" s="174"/>
      <c r="G627" s="193">
        <f>G626</f>
        <v>5536</v>
      </c>
    </row>
    <row r="628" spans="1:8" ht="216">
      <c r="A628" s="168">
        <f>A625+1</f>
        <v>24</v>
      </c>
      <c r="B628" s="169"/>
      <c r="C628" s="168"/>
      <c r="D628" s="273" t="str">
        <f>'BOQ-C&amp;I'!C131</f>
        <v>Wall HandrailManufacturing, Supplying and Fixing of Stainless Steel Handrails for staircase near wet riser using 50mm dia 304L Grade Stainless Steel pipe of 1.60mm thick will be provided with tubular supports made of 304L Grade Stainless Steel pipe of 25mm dia of 1.60mm thick welded to the railing. The supports will be grouted into the wall and provided with 93.00mm thick Stainless Steel circular base plate of 304 Grade. The rate shall included for grouting into concrete with necessary supporting arrangements the hand rail in floor polishing buffing, bonding, cutting, grinding, conveyance, welding charges, electrical charges, etc. complete</v>
      </c>
      <c r="E628" s="172"/>
      <c r="F628" s="168"/>
      <c r="G628" s="171"/>
    </row>
    <row r="629" spans="1:8" ht="18">
      <c r="A629" s="168"/>
      <c r="B629" s="177">
        <v>1</v>
      </c>
      <c r="C629" s="174" t="s">
        <v>33</v>
      </c>
      <c r="D629" s="178" t="s">
        <v>605</v>
      </c>
      <c r="E629" s="192">
        <f>Material!D12</f>
        <v>1843</v>
      </c>
      <c r="F629" s="174" t="s">
        <v>33</v>
      </c>
      <c r="G629" s="291">
        <f>E629*B629</f>
        <v>1843</v>
      </c>
    </row>
    <row r="630" spans="1:8" ht="18">
      <c r="A630" s="168"/>
      <c r="B630" s="177"/>
      <c r="C630" s="174"/>
      <c r="D630" s="286" t="s">
        <v>268</v>
      </c>
      <c r="E630" s="194"/>
      <c r="F630" s="174"/>
      <c r="G630" s="193">
        <f>G629</f>
        <v>1843</v>
      </c>
    </row>
    <row r="631" spans="1:8" ht="18">
      <c r="A631" s="168"/>
      <c r="B631" s="169"/>
      <c r="C631" s="168"/>
      <c r="D631" s="272"/>
      <c r="E631" s="168"/>
      <c r="F631" s="168"/>
      <c r="G631" s="171"/>
    </row>
    <row r="632" spans="1:8" ht="306">
      <c r="A632" s="168">
        <f>A628+1</f>
        <v>25</v>
      </c>
      <c r="B632" s="169"/>
      <c r="C632" s="170"/>
      <c r="D632" s="273" t="str">
        <f>'BOQ-C&amp;I'!C132</f>
        <v>Supplying, fabricating, erecting and fixing in position Monkey ladders and all miscellaneous steel works as shown in the drg. or as directed by the Engineer at all heights and levels using MS angles channels, rails, tees, plates, flats, rounds, squares etc., of various sizes and other structural steel sections.  The rate shall be inclusive of finishing the MS surfaces shall be painted with 2 Coats (each coat of 25 microns DFT) of red oxide zinc phosphate primer and 2 Coats (each coat of 35 microns DFT) of synthetic enamel paint of approved colour and makeRate including all materials, labour charges, wastages, necessary lead and lifts, transportation charges, loading, unloading, scaffolding, staging, straightening, cutting, fabricating, welding, bending to shape bolting, installation charges, fuel, consumables,  tools and tackles as complete with all respects complying with relevant standard specification and as directed by the   departmental officers.</v>
      </c>
      <c r="E632" s="170"/>
      <c r="F632" s="170"/>
      <c r="G632" s="232"/>
    </row>
    <row r="633" spans="1:8" s="390" customFormat="1" ht="18">
      <c r="A633" s="168"/>
      <c r="B633" s="177">
        <v>1</v>
      </c>
      <c r="C633" s="174" t="s">
        <v>162</v>
      </c>
      <c r="D633" s="178" t="s">
        <v>267</v>
      </c>
      <c r="E633" s="192">
        <f>Material!D18</f>
        <v>53</v>
      </c>
      <c r="F633" s="174" t="s">
        <v>162</v>
      </c>
      <c r="G633" s="291">
        <f>+E633*B633</f>
        <v>53</v>
      </c>
    </row>
    <row r="634" spans="1:8" s="390" customFormat="1" ht="18">
      <c r="A634" s="168"/>
      <c r="B634" s="177">
        <v>1</v>
      </c>
      <c r="C634" s="174" t="s">
        <v>162</v>
      </c>
      <c r="D634" s="178" t="s">
        <v>163</v>
      </c>
      <c r="E634" s="192">
        <f>Labour!E46</f>
        <v>52.5</v>
      </c>
      <c r="F634" s="174" t="s">
        <v>162</v>
      </c>
      <c r="G634" s="291">
        <f>+E634*B634</f>
        <v>52.5</v>
      </c>
    </row>
    <row r="635" spans="1:8" s="390" customFormat="1" ht="18">
      <c r="A635" s="168"/>
      <c r="B635" s="177"/>
      <c r="C635" s="174" t="s">
        <v>159</v>
      </c>
      <c r="D635" s="178" t="s">
        <v>161</v>
      </c>
      <c r="E635" s="194"/>
      <c r="F635" s="174" t="s">
        <v>159</v>
      </c>
      <c r="G635" s="291">
        <v>9</v>
      </c>
    </row>
    <row r="636" spans="1:8" s="390" customFormat="1" ht="18">
      <c r="A636" s="168"/>
      <c r="B636" s="177"/>
      <c r="C636" s="174" t="s">
        <v>159</v>
      </c>
      <c r="D636" s="178" t="s">
        <v>160</v>
      </c>
      <c r="E636" s="194"/>
      <c r="F636" s="174" t="s">
        <v>159</v>
      </c>
      <c r="G636" s="291">
        <v>9.25</v>
      </c>
    </row>
    <row r="637" spans="1:8" s="390" customFormat="1" ht="18">
      <c r="A637" s="168"/>
      <c r="B637" s="177"/>
      <c r="C637" s="174"/>
      <c r="D637" s="286" t="s">
        <v>158</v>
      </c>
      <c r="E637" s="194"/>
      <c r="F637" s="174"/>
      <c r="G637" s="171">
        <f>SUM(G633:G636)</f>
        <v>123.75</v>
      </c>
      <c r="H637" s="391"/>
    </row>
    <row r="638" spans="1:8" ht="18">
      <c r="A638" s="168"/>
      <c r="B638" s="169"/>
      <c r="C638" s="170"/>
      <c r="D638" s="277"/>
      <c r="E638" s="170"/>
      <c r="F638" s="170"/>
      <c r="G638" s="232"/>
    </row>
    <row r="639" spans="1:8" ht="198">
      <c r="A639" s="168">
        <f>A632+1</f>
        <v>26</v>
      </c>
      <c r="B639" s="169"/>
      <c r="C639" s="271"/>
      <c r="D639" s="392" t="str">
        <f>'BOQ-C&amp;I'!C133</f>
        <v>Providing  and  fixing welded M.S. grills for the window openings and any openings as per drawing  with   necessary screws, bolts and  fixed with  necessary  M.S. lugs embedded in masonry with C.C. 1:2:4 and finishing the surface neatly. Rate shall include for  two   coats   of  first  quality  synthetic   enamel paint  over  a coat of  zinc phosphate primer, necessary tools &amp; plants, welding and consumables, etc. complete, as directed. Design of grills and the size of members to be used shall be got approval before put into use &amp; as directed by the departmental officers.</v>
      </c>
      <c r="E639" s="195"/>
      <c r="F639" s="271"/>
      <c r="G639" s="195"/>
    </row>
    <row r="640" spans="1:8" s="390" customFormat="1" ht="36">
      <c r="A640" s="168"/>
      <c r="B640" s="177">
        <v>1</v>
      </c>
      <c r="C640" s="174" t="s">
        <v>162</v>
      </c>
      <c r="D640" s="178" t="s">
        <v>978</v>
      </c>
      <c r="E640" s="192">
        <f>Material!D41</f>
        <v>70.150000000000006</v>
      </c>
      <c r="F640" s="174" t="s">
        <v>162</v>
      </c>
      <c r="G640" s="291">
        <f>+E640*B640</f>
        <v>70.150000000000006</v>
      </c>
    </row>
    <row r="641" spans="1:7" s="390" customFormat="1" ht="18">
      <c r="A641" s="168"/>
      <c r="B641" s="177">
        <v>1</v>
      </c>
      <c r="C641" s="174" t="s">
        <v>162</v>
      </c>
      <c r="D641" s="178" t="s">
        <v>163</v>
      </c>
      <c r="E641" s="192">
        <f>Material!D42</f>
        <v>30.35</v>
      </c>
      <c r="F641" s="174" t="s">
        <v>162</v>
      </c>
      <c r="G641" s="291">
        <f>+E641*B641</f>
        <v>30.35</v>
      </c>
    </row>
    <row r="642" spans="1:7" s="390" customFormat="1" ht="18">
      <c r="A642" s="168"/>
      <c r="B642" s="177"/>
      <c r="C642" s="174" t="s">
        <v>159</v>
      </c>
      <c r="D642" s="178" t="s">
        <v>161</v>
      </c>
      <c r="E642" s="194"/>
      <c r="F642" s="174" t="s">
        <v>159</v>
      </c>
      <c r="G642" s="291">
        <v>9</v>
      </c>
    </row>
    <row r="643" spans="1:7" s="390" customFormat="1" ht="18">
      <c r="A643" s="168"/>
      <c r="B643" s="177"/>
      <c r="C643" s="174" t="s">
        <v>159</v>
      </c>
      <c r="D643" s="178" t="s">
        <v>160</v>
      </c>
      <c r="E643" s="194"/>
      <c r="F643" s="174" t="s">
        <v>159</v>
      </c>
      <c r="G643" s="291">
        <v>9.25</v>
      </c>
    </row>
    <row r="644" spans="1:7" s="390" customFormat="1" ht="18">
      <c r="A644" s="168"/>
      <c r="B644" s="177"/>
      <c r="C644" s="174"/>
      <c r="D644" s="178" t="s">
        <v>154</v>
      </c>
      <c r="E644" s="194"/>
      <c r="F644" s="174"/>
      <c r="G644" s="291">
        <v>0.25</v>
      </c>
    </row>
    <row r="645" spans="1:7" ht="18">
      <c r="A645" s="168"/>
      <c r="B645" s="169"/>
      <c r="C645" s="271"/>
      <c r="D645" s="286" t="s">
        <v>158</v>
      </c>
      <c r="E645" s="195"/>
      <c r="F645" s="271"/>
      <c r="G645" s="171">
        <f>SUM(G640:G644)</f>
        <v>119</v>
      </c>
    </row>
    <row r="646" spans="1:7" ht="18">
      <c r="A646" s="168"/>
      <c r="B646" s="169"/>
      <c r="C646" s="271"/>
      <c r="D646" s="223"/>
      <c r="E646" s="195"/>
      <c r="F646" s="271"/>
      <c r="G646" s="171"/>
    </row>
    <row r="647" spans="1:7" ht="18">
      <c r="A647" s="168"/>
      <c r="B647" s="169"/>
      <c r="C647" s="168"/>
      <c r="D647" s="304" t="s">
        <v>113</v>
      </c>
      <c r="E647" s="168"/>
      <c r="F647" s="168"/>
      <c r="G647" s="195"/>
    </row>
    <row r="648" spans="1:7" ht="324">
      <c r="A648" s="168">
        <f>A639+1</f>
        <v>27</v>
      </c>
      <c r="B648" s="169"/>
      <c r="C648" s="168"/>
      <c r="D648" s="277" t="str">
        <f>'BOQ-C&amp;I'!C136</f>
        <v>Providing and laying in panels not more than 20 sqm. in plan Granolithic flooring with cement concrete 1:1.5:3 (1 of cement : 1.5 of M.Sand : 3 of stone aggregate) by using coarse graded aggregate of 6 to 12 mm size laid monolithic with floor concrete and finished smooth with power trowel including preparation of concrete surface and form work.  The screed shall be laid for effective separation of panels not exceeding 20 sqm in plan etc and Unevenness in floor finish shall not exceed +2mm in one square metre area. Including sprinkling  of Nitoflor Hardtop Standard evenly a shake on a ready mixed non-metallic monolithic floor hardening compound with very hard granulates of mineral origin over concrete floor when the concrete in green and touch dry condition at the rate of 5 Kgs/Sqm. Nitoflor Hardtop Standard shall possess a compressive strength of 50N/mm² as per IS: 516-1959, Moh's hardness not less than 8,  as per specification and instructions of the manufacturer.</v>
      </c>
      <c r="E648" s="168"/>
      <c r="F648" s="168"/>
      <c r="G648" s="195"/>
    </row>
    <row r="649" spans="1:7" ht="18">
      <c r="A649" s="168"/>
      <c r="B649" s="177"/>
      <c r="C649" s="174"/>
      <c r="D649" s="178" t="s">
        <v>266</v>
      </c>
      <c r="E649" s="192"/>
      <c r="F649" s="174"/>
      <c r="G649" s="291"/>
    </row>
    <row r="650" spans="1:7" ht="20.25">
      <c r="A650" s="168"/>
      <c r="B650" s="177">
        <v>9</v>
      </c>
      <c r="C650" s="174" t="s">
        <v>1623</v>
      </c>
      <c r="D650" s="178" t="s">
        <v>265</v>
      </c>
      <c r="E650" s="192">
        <f>('Lead Statement'!I6+'Lead Statement'!I7+'Lead Statement'!I8)/3</f>
        <v>1147.4133333333332</v>
      </c>
      <c r="F650" s="174" t="s">
        <v>1623</v>
      </c>
      <c r="G650" s="291">
        <f>E650*B650</f>
        <v>10326.719999999999</v>
      </c>
    </row>
    <row r="651" spans="1:7" ht="20.25">
      <c r="A651" s="168"/>
      <c r="B651" s="177">
        <v>4.5</v>
      </c>
      <c r="C651" s="174" t="s">
        <v>1623</v>
      </c>
      <c r="D651" s="178" t="s">
        <v>264</v>
      </c>
      <c r="E651" s="192">
        <f>G15</f>
        <v>7354.48</v>
      </c>
      <c r="F651" s="174" t="s">
        <v>1623</v>
      </c>
      <c r="G651" s="291">
        <f>E651*B651</f>
        <v>33095.159999999996</v>
      </c>
    </row>
    <row r="652" spans="1:7" ht="18">
      <c r="A652" s="168"/>
      <c r="B652" s="177">
        <v>1.8</v>
      </c>
      <c r="C652" s="174" t="s">
        <v>165</v>
      </c>
      <c r="D652" s="178" t="s">
        <v>263</v>
      </c>
      <c r="E652" s="192">
        <f>Labour!E5</f>
        <v>884</v>
      </c>
      <c r="F652" s="174" t="s">
        <v>165</v>
      </c>
      <c r="G652" s="291">
        <f>E652*B652</f>
        <v>1591.2</v>
      </c>
    </row>
    <row r="653" spans="1:7" ht="18">
      <c r="A653" s="168"/>
      <c r="B653" s="177">
        <v>17.7</v>
      </c>
      <c r="C653" s="174" t="s">
        <v>165</v>
      </c>
      <c r="D653" s="178" t="s">
        <v>262</v>
      </c>
      <c r="E653" s="192">
        <f>Labour!E6</f>
        <v>618</v>
      </c>
      <c r="F653" s="174" t="s">
        <v>165</v>
      </c>
      <c r="G653" s="291">
        <f>E653*B653</f>
        <v>10938.6</v>
      </c>
    </row>
    <row r="654" spans="1:7" ht="18">
      <c r="A654" s="168"/>
      <c r="B654" s="177">
        <v>14.1</v>
      </c>
      <c r="C654" s="174" t="s">
        <v>165</v>
      </c>
      <c r="D654" s="178" t="s">
        <v>261</v>
      </c>
      <c r="E654" s="192">
        <f>Labour!E7</f>
        <v>507</v>
      </c>
      <c r="F654" s="174" t="s">
        <v>165</v>
      </c>
      <c r="G654" s="291">
        <f>E654*B654</f>
        <v>7148.7</v>
      </c>
    </row>
    <row r="655" spans="1:7" ht="18">
      <c r="A655" s="168"/>
      <c r="B655" s="169">
        <v>1.9</v>
      </c>
      <c r="C655" s="170" t="s">
        <v>259</v>
      </c>
      <c r="D655" s="277" t="s">
        <v>260</v>
      </c>
      <c r="E655" s="192">
        <v>42.4</v>
      </c>
      <c r="F655" s="170" t="s">
        <v>259</v>
      </c>
      <c r="G655" s="232">
        <f>(B655*E655)</f>
        <v>80.559999999999988</v>
      </c>
    </row>
    <row r="656" spans="1:7" ht="20.25">
      <c r="A656" s="168"/>
      <c r="B656" s="177"/>
      <c r="C656" s="174"/>
      <c r="D656" s="178" t="s">
        <v>1627</v>
      </c>
      <c r="E656" s="192"/>
      <c r="F656" s="174"/>
      <c r="G656" s="291">
        <f>SUM(G650:G655)</f>
        <v>63180.939999999988</v>
      </c>
    </row>
    <row r="657" spans="1:7" ht="18">
      <c r="A657" s="168"/>
      <c r="B657" s="177"/>
      <c r="C657" s="174"/>
      <c r="D657" s="178" t="s">
        <v>258</v>
      </c>
      <c r="E657" s="192"/>
      <c r="F657" s="174"/>
      <c r="G657" s="193">
        <f>ROUND(G656/10,2)</f>
        <v>6318.09</v>
      </c>
    </row>
    <row r="658" spans="1:7" ht="18">
      <c r="A658" s="168"/>
      <c r="B658" s="177"/>
      <c r="C658" s="174"/>
      <c r="D658" s="178"/>
      <c r="E658" s="192"/>
      <c r="F658" s="174"/>
      <c r="G658" s="291"/>
    </row>
    <row r="659" spans="1:7" ht="20.25">
      <c r="A659" s="168" t="s">
        <v>71</v>
      </c>
      <c r="B659" s="177"/>
      <c r="C659" s="174"/>
      <c r="D659" s="286" t="s">
        <v>1628</v>
      </c>
      <c r="E659" s="192"/>
      <c r="F659" s="174"/>
      <c r="G659" s="291"/>
    </row>
    <row r="660" spans="1:7" ht="20.25">
      <c r="A660" s="168"/>
      <c r="B660" s="177">
        <f>10*0.05</f>
        <v>0.5</v>
      </c>
      <c r="C660" s="174" t="s">
        <v>1499</v>
      </c>
      <c r="D660" s="178" t="s">
        <v>257</v>
      </c>
      <c r="E660" s="192">
        <f>G657</f>
        <v>6318.09</v>
      </c>
      <c r="F660" s="174" t="s">
        <v>1629</v>
      </c>
      <c r="G660" s="291">
        <f>E660*B660</f>
        <v>3159.0450000000001</v>
      </c>
    </row>
    <row r="661" spans="1:7" ht="36">
      <c r="A661" s="168"/>
      <c r="B661" s="177">
        <v>10</v>
      </c>
      <c r="C661" s="174" t="s">
        <v>1630</v>
      </c>
      <c r="D661" s="178" t="s">
        <v>255</v>
      </c>
      <c r="E661" s="192">
        <v>5</v>
      </c>
      <c r="F661" s="174" t="s">
        <v>1630</v>
      </c>
      <c r="G661" s="291">
        <f>E661*B661</f>
        <v>50</v>
      </c>
    </row>
    <row r="662" spans="1:7" ht="20.25">
      <c r="A662" s="168"/>
      <c r="B662" s="169">
        <v>1</v>
      </c>
      <c r="C662" s="174" t="s">
        <v>1630</v>
      </c>
      <c r="D662" s="277" t="s">
        <v>256</v>
      </c>
      <c r="E662" s="192">
        <v>155</v>
      </c>
      <c r="F662" s="174" t="s">
        <v>1630</v>
      </c>
      <c r="G662" s="291">
        <f>E662*B662</f>
        <v>155</v>
      </c>
    </row>
    <row r="663" spans="1:7" ht="18">
      <c r="A663" s="168"/>
      <c r="B663" s="177"/>
      <c r="C663" s="174"/>
      <c r="D663" s="178" t="s">
        <v>154</v>
      </c>
      <c r="E663" s="194"/>
      <c r="F663" s="174"/>
      <c r="G663" s="291">
        <v>0.11</v>
      </c>
    </row>
    <row r="664" spans="1:7" ht="20.25">
      <c r="A664" s="168"/>
      <c r="B664" s="177"/>
      <c r="C664" s="174"/>
      <c r="D664" s="178" t="s">
        <v>1631</v>
      </c>
      <c r="E664" s="194"/>
      <c r="F664" s="174"/>
      <c r="G664" s="291">
        <f>SUM(G660:G663)</f>
        <v>3364.1550000000002</v>
      </c>
    </row>
    <row r="665" spans="1:7" ht="20.25">
      <c r="A665" s="168"/>
      <c r="B665" s="177"/>
      <c r="C665" s="174"/>
      <c r="D665" s="178" t="s">
        <v>1632</v>
      </c>
      <c r="E665" s="194"/>
      <c r="F665" s="174"/>
      <c r="G665" s="193">
        <f>ROUND((G664/10),1)</f>
        <v>336.4</v>
      </c>
    </row>
    <row r="666" spans="1:7" ht="18">
      <c r="A666" s="168"/>
      <c r="B666" s="177"/>
      <c r="C666" s="174"/>
      <c r="D666" s="178"/>
      <c r="E666" s="194"/>
      <c r="F666" s="174"/>
      <c r="G666" s="193"/>
    </row>
    <row r="667" spans="1:7" ht="84" customHeight="1">
      <c r="A667" s="168">
        <f>A648+1</f>
        <v>28</v>
      </c>
      <c r="B667" s="177"/>
      <c r="C667" s="174"/>
      <c r="D667" s="286" t="str">
        <f>'BOQ-C&amp;I'!C140</f>
        <v>Providing and applying 6mm thick Polyurethane Flooring, seamless, solvent-free, moisture insensitive and anti-microbial polyurethane concrete flooring system, matching below mentioned performance properties:</v>
      </c>
      <c r="E667" s="194"/>
      <c r="F667" s="174"/>
      <c r="G667" s="193"/>
    </row>
    <row r="668" spans="1:7" ht="18">
      <c r="A668" s="168"/>
      <c r="B668" s="177"/>
      <c r="C668" s="174"/>
      <c r="D668" s="178" t="str">
        <f>'BOQ-C&amp;I'!C141</f>
        <v>FIRE RESISTANCE - Surface spread of flames : Class 2.</v>
      </c>
      <c r="E668" s="194"/>
      <c r="F668" s="174"/>
      <c r="G668" s="193"/>
    </row>
    <row r="669" spans="1:7" ht="36">
      <c r="A669" s="168"/>
      <c r="B669" s="177"/>
      <c r="C669" s="174"/>
      <c r="D669" s="178" t="str">
        <f>'BOQ-C&amp;I'!C142</f>
        <v>THERMAL RESISTANCE - Tolerant up to 100  ̊C intermittent spillages or constant 90  ̊C  dry heat at 5 mm thickness</v>
      </c>
      <c r="E669" s="194"/>
      <c r="F669" s="174"/>
      <c r="G669" s="193"/>
    </row>
    <row r="670" spans="1:7" ht="18">
      <c r="A670" s="168"/>
      <c r="B670" s="177"/>
      <c r="C670" s="174"/>
      <c r="D670" s="178" t="str">
        <f>'BOQ-C&amp;I'!C143</f>
        <v>ABRASION RESISTANCE: 25mg loss per 1000Cycles</v>
      </c>
      <c r="E670" s="194"/>
      <c r="F670" s="174"/>
      <c r="G670" s="193"/>
    </row>
    <row r="671" spans="1:7" ht="18">
      <c r="A671" s="168"/>
      <c r="B671" s="177"/>
      <c r="C671" s="174"/>
      <c r="D671" s="178" t="str">
        <f>'BOQ-C&amp;I'!C144</f>
        <v xml:space="preserve">COMPRESSIVE STRENGTH: &gt;50 N/mm </v>
      </c>
      <c r="E671" s="194"/>
      <c r="F671" s="174"/>
      <c r="G671" s="193"/>
    </row>
    <row r="672" spans="1:7" ht="18">
      <c r="A672" s="168"/>
      <c r="B672" s="177"/>
      <c r="C672" s="174"/>
      <c r="D672" s="178" t="str">
        <f>'BOQ-C&amp;I'!C145</f>
        <v xml:space="preserve">FLEXURAL STRENGTH: &gt;20N/mm </v>
      </c>
      <c r="E672" s="194"/>
      <c r="F672" s="174"/>
      <c r="G672" s="193"/>
    </row>
    <row r="673" spans="1:7" ht="18">
      <c r="A673" s="168"/>
      <c r="B673" s="177"/>
      <c r="C673" s="174"/>
      <c r="D673" s="178" t="str">
        <f>'BOQ-C&amp;I'!C146</f>
        <v xml:space="preserve">TENSILE STRENGTH: &gt;10N/mm </v>
      </c>
      <c r="E673" s="194"/>
      <c r="F673" s="174"/>
      <c r="G673" s="193"/>
    </row>
    <row r="674" spans="1:7" ht="126">
      <c r="A674" s="168"/>
      <c r="B674" s="177"/>
      <c r="C674" s="174"/>
      <c r="D674" s="178" t="str">
        <f>'BOQ-C&amp;I'!C147</f>
        <v>SURFACE PREPARATION :- The substrate concrete surface must have compressive strength of 25Mpa and should be more than 14 days old and the surface should be dry, moisture content below 75% RH in the substrate. Surface laitance must be removed by mechanical action. Locking chases/termination grooves shall be provided in the substrate.</v>
      </c>
      <c r="E674" s="194"/>
      <c r="F674" s="174"/>
      <c r="G674" s="193"/>
    </row>
    <row r="675" spans="1:7" ht="54">
      <c r="A675" s="168"/>
      <c r="B675" s="177"/>
      <c r="C675" s="174"/>
      <c r="D675" s="178" t="str">
        <f>'BOQ-C&amp;I'!C148</f>
        <v xml:space="preserve">Priming/Scratch coat shall be applied using Flowfresh RT by trowel or with a rake with appropriate depth gauges. Filler (aggregate scatter) shall be applied over Scratch coat. </v>
      </c>
      <c r="E675" s="194"/>
      <c r="F675" s="174"/>
      <c r="G675" s="193"/>
    </row>
    <row r="676" spans="1:7" ht="36">
      <c r="A676" s="168"/>
      <c r="B676" s="177"/>
      <c r="C676" s="174"/>
      <c r="D676" s="178" t="str">
        <f>'BOQ-C&amp;I'!C149</f>
        <v xml:space="preserve">Top Coat to be applied using  hand trowel to level screed lines and create an even surface. </v>
      </c>
      <c r="E676" s="194"/>
      <c r="F676" s="174"/>
      <c r="G676" s="193"/>
    </row>
    <row r="677" spans="1:7" ht="90">
      <c r="A677" s="168"/>
      <c r="B677" s="177"/>
      <c r="C677" s="174"/>
      <c r="D677" s="178" t="str">
        <f>'BOQ-C&amp;I'!C150</f>
        <v>The rate shall include  all cuttings, wastages, cost of all materials adhesives, cleaning the surface, making dust free, including all the materials and labour mentioned above for complete finished work. Only laid area will be measured for payment.</v>
      </c>
      <c r="E677" s="194"/>
      <c r="F677" s="174"/>
      <c r="G677" s="193"/>
    </row>
    <row r="678" spans="1:7" ht="18">
      <c r="A678" s="168"/>
      <c r="B678" s="177">
        <v>1</v>
      </c>
      <c r="C678" s="174" t="s">
        <v>9</v>
      </c>
      <c r="D678" s="178" t="s">
        <v>1876</v>
      </c>
      <c r="E678" s="192">
        <f>'Comparison - Annexure 04'!K57</f>
        <v>2950</v>
      </c>
      <c r="F678" s="174" t="s">
        <v>9</v>
      </c>
      <c r="G678" s="193">
        <f>E678*B678</f>
        <v>2950</v>
      </c>
    </row>
    <row r="679" spans="1:7" ht="18">
      <c r="A679" s="168"/>
      <c r="B679" s="177"/>
      <c r="C679" s="174"/>
      <c r="D679" s="178"/>
      <c r="E679" s="194"/>
      <c r="F679" s="174"/>
      <c r="G679" s="193"/>
    </row>
    <row r="680" spans="1:7" ht="252">
      <c r="A680" s="168">
        <f>A667+1</f>
        <v>29</v>
      </c>
      <c r="B680" s="177"/>
      <c r="C680" s="174"/>
      <c r="D680" s="178" t="str">
        <f>'BOQ-C&amp;I'!C152</f>
        <v>Supply and application of epoxy flooring at 3 mm thickness with epoxy underlay screed using of approved make at 2 mm thick over a priming layer of prime 25. Overlay the topping using approved make Epoxy of 1 mm thick for the designated working area after the complete surface preparation. System contains the properties like : Compressive strength (BS 6319)  : 50 N/mm² @7 days, Flexural strength (BS 6319)  : 26 N/mm² @7 days , Tensile strength (BS 6319)   : 12 N/mm² @7 days, the quoted rates includes complete surface preparation tools material and labor etc; complete as per the Manufacturers specification and direction of Engineer incharge. The application shall be done by Manufacturers approved applicators.</v>
      </c>
      <c r="E680" s="194"/>
      <c r="F680" s="174"/>
      <c r="G680" s="193"/>
    </row>
    <row r="681" spans="1:7" ht="18">
      <c r="A681" s="168"/>
      <c r="B681" s="177">
        <v>1</v>
      </c>
      <c r="C681" s="174" t="s">
        <v>9</v>
      </c>
      <c r="D681" s="178" t="s">
        <v>1876</v>
      </c>
      <c r="E681" s="192">
        <f>'Comparison - Annexure 04'!K58</f>
        <v>1480</v>
      </c>
      <c r="F681" s="174" t="s">
        <v>9</v>
      </c>
      <c r="G681" s="193">
        <f>E681*B681</f>
        <v>1480</v>
      </c>
    </row>
    <row r="682" spans="1:7" ht="18">
      <c r="A682" s="168"/>
      <c r="B682" s="177"/>
      <c r="C682" s="174"/>
      <c r="D682" s="178"/>
      <c r="E682" s="194"/>
      <c r="F682" s="174"/>
      <c r="G682" s="193"/>
    </row>
    <row r="683" spans="1:7" ht="342">
      <c r="A683" s="168">
        <f>+A680+1</f>
        <v>30</v>
      </c>
      <c r="B683" s="177"/>
      <c r="C683" s="174"/>
      <c r="D683" s="277" t="str">
        <f>'BOQ-C&amp;I'!C154</f>
        <v xml:space="preserve">Providing and fixing of flooring with quality approved make of Double charged vitrified tiles - Polished / Matt (seamless joint) confirming to IS 13006/EN 176  Group B1a with technical specification as Mohs scratch hardness minimum  7,Water Absorption of less than 0.5%, Modulus of Rupture greater than 35 N/mm2, Deep Abrasion resistant maximum 175 mm 3 Surface flatness, Straightness of sides ± 0.25%, thickness  ± 5% of size of  approved colour and size &amp; thick as specified below, set  in 20mm thick C.M.1:4(1 cement and 4 M.Sand )  and pointing with white cement  to matching colour shade as per Manufacturer's Specification and as directed.  Rate shall include wastages, for preparation of base surface, cleaning, acid wash, and finished surface, protection with Gypsum / Pop  layer  over  Plastic sheet and removing the same before handing over, work at  all levels and as directed. Rate shall be inclusive of forming pattern as directed by departmental officers. etc; as complete in all respects and complying with relevant standard specifications and as directed by the departmental officers and the brant and desige should be got approved </v>
      </c>
      <c r="E683" s="349"/>
      <c r="F683" s="329"/>
      <c r="G683" s="193"/>
    </row>
    <row r="684" spans="1:7" ht="36">
      <c r="A684" s="168"/>
      <c r="B684" s="177"/>
      <c r="C684" s="174"/>
      <c r="D684" s="272" t="s">
        <v>1488</v>
      </c>
      <c r="E684" s="192"/>
      <c r="F684" s="174"/>
      <c r="G684" s="193"/>
    </row>
    <row r="685" spans="1:7" ht="18">
      <c r="A685" s="168"/>
      <c r="B685" s="169">
        <v>10</v>
      </c>
      <c r="C685" s="170" t="s">
        <v>1489</v>
      </c>
      <c r="D685" s="290" t="s">
        <v>1490</v>
      </c>
      <c r="E685" s="192">
        <f>Material!D25</f>
        <v>982</v>
      </c>
      <c r="F685" s="174" t="s">
        <v>9</v>
      </c>
      <c r="G685" s="291">
        <f>+E685*B685</f>
        <v>9820</v>
      </c>
    </row>
    <row r="686" spans="1:7" ht="18">
      <c r="A686" s="168"/>
      <c r="B686" s="177">
        <v>0.21</v>
      </c>
      <c r="C686" s="174" t="s">
        <v>218</v>
      </c>
      <c r="D686" s="292" t="s">
        <v>225</v>
      </c>
      <c r="E686" s="192">
        <f>G33</f>
        <v>3730.48</v>
      </c>
      <c r="F686" s="174" t="s">
        <v>155</v>
      </c>
      <c r="G686" s="291">
        <f>B686*E686</f>
        <v>783.4008</v>
      </c>
    </row>
    <row r="687" spans="1:7" ht="18">
      <c r="A687" s="168"/>
      <c r="B687" s="177">
        <v>20</v>
      </c>
      <c r="C687" s="174" t="s">
        <v>209</v>
      </c>
      <c r="D687" s="292" t="s">
        <v>1491</v>
      </c>
      <c r="E687" s="192">
        <f>'Lead Statement'!I13</f>
        <v>6040</v>
      </c>
      <c r="F687" s="174" t="s">
        <v>162</v>
      </c>
      <c r="G687" s="291">
        <f>(B687*E687)/1000</f>
        <v>120.8</v>
      </c>
    </row>
    <row r="688" spans="1:7" ht="18">
      <c r="A688" s="168"/>
      <c r="B688" s="177">
        <v>1.1000000000000001</v>
      </c>
      <c r="C688" s="174" t="s">
        <v>51</v>
      </c>
      <c r="D688" s="292" t="s">
        <v>215</v>
      </c>
      <c r="E688" s="192">
        <f>Labour!E4</f>
        <v>947</v>
      </c>
      <c r="F688" s="168" t="s">
        <v>202</v>
      </c>
      <c r="G688" s="291">
        <f t="shared" ref="G688:G695" si="16">B688*E688</f>
        <v>1041.7</v>
      </c>
    </row>
    <row r="689" spans="1:8" ht="18">
      <c r="A689" s="168"/>
      <c r="B689" s="177">
        <v>1.1000000000000001</v>
      </c>
      <c r="C689" s="174" t="s">
        <v>51</v>
      </c>
      <c r="D689" s="292" t="s">
        <v>224</v>
      </c>
      <c r="E689" s="192">
        <f>Labour!E5</f>
        <v>884</v>
      </c>
      <c r="F689" s="168" t="s">
        <v>202</v>
      </c>
      <c r="G689" s="291">
        <f t="shared" si="16"/>
        <v>972.40000000000009</v>
      </c>
    </row>
    <row r="690" spans="1:8" ht="18">
      <c r="A690" s="168"/>
      <c r="B690" s="177">
        <v>2.2000000000000002</v>
      </c>
      <c r="C690" s="174" t="s">
        <v>51</v>
      </c>
      <c r="D690" s="292" t="s">
        <v>151</v>
      </c>
      <c r="E690" s="192">
        <f>Labour!E6</f>
        <v>618</v>
      </c>
      <c r="F690" s="168" t="s">
        <v>202</v>
      </c>
      <c r="G690" s="291">
        <f t="shared" si="16"/>
        <v>1359.6000000000001</v>
      </c>
    </row>
    <row r="691" spans="1:8" ht="18">
      <c r="A691" s="168"/>
      <c r="B691" s="177">
        <v>2.2000000000000002</v>
      </c>
      <c r="C691" s="174" t="s">
        <v>51</v>
      </c>
      <c r="D691" s="292" t="s">
        <v>150</v>
      </c>
      <c r="E691" s="192">
        <f>Labour!E7</f>
        <v>507</v>
      </c>
      <c r="F691" s="168" t="s">
        <v>202</v>
      </c>
      <c r="G691" s="291">
        <f t="shared" si="16"/>
        <v>1115.4000000000001</v>
      </c>
    </row>
    <row r="692" spans="1:8" ht="18">
      <c r="A692" s="168"/>
      <c r="B692" s="177">
        <v>2</v>
      </c>
      <c r="C692" s="174" t="s">
        <v>209</v>
      </c>
      <c r="D692" s="292" t="s">
        <v>1492</v>
      </c>
      <c r="E692" s="192">
        <v>36.1</v>
      </c>
      <c r="F692" s="168" t="s">
        <v>162</v>
      </c>
      <c r="G692" s="291">
        <f t="shared" si="16"/>
        <v>72.2</v>
      </c>
    </row>
    <row r="693" spans="1:8" ht="18">
      <c r="A693" s="168"/>
      <c r="B693" s="177">
        <v>1.6</v>
      </c>
      <c r="C693" s="174" t="s">
        <v>51</v>
      </c>
      <c r="D693" s="292" t="s">
        <v>224</v>
      </c>
      <c r="E693" s="192">
        <f>Labour!E5</f>
        <v>884</v>
      </c>
      <c r="F693" s="168" t="s">
        <v>202</v>
      </c>
      <c r="G693" s="291">
        <f t="shared" si="16"/>
        <v>1414.4</v>
      </c>
    </row>
    <row r="694" spans="1:8" ht="18">
      <c r="A694" s="168"/>
      <c r="B694" s="177">
        <v>0.5</v>
      </c>
      <c r="C694" s="174" t="s">
        <v>51</v>
      </c>
      <c r="D694" s="292" t="s">
        <v>151</v>
      </c>
      <c r="E694" s="192">
        <f>Labour!E6</f>
        <v>618</v>
      </c>
      <c r="F694" s="168" t="s">
        <v>202</v>
      </c>
      <c r="G694" s="291">
        <f t="shared" si="16"/>
        <v>309</v>
      </c>
    </row>
    <row r="695" spans="1:8" ht="18">
      <c r="A695" s="168"/>
      <c r="B695" s="177">
        <v>1.1000000000000001</v>
      </c>
      <c r="C695" s="174" t="s">
        <v>51</v>
      </c>
      <c r="D695" s="292" t="s">
        <v>150</v>
      </c>
      <c r="E695" s="192">
        <f>Labour!E7</f>
        <v>507</v>
      </c>
      <c r="F695" s="168" t="s">
        <v>202</v>
      </c>
      <c r="G695" s="291">
        <f t="shared" si="16"/>
        <v>557.70000000000005</v>
      </c>
    </row>
    <row r="696" spans="1:8" ht="36">
      <c r="A696" s="168"/>
      <c r="B696" s="177" t="s">
        <v>159</v>
      </c>
      <c r="C696" s="174"/>
      <c r="D696" s="292" t="s">
        <v>1493</v>
      </c>
      <c r="E696" s="192" t="s">
        <v>159</v>
      </c>
      <c r="F696" s="174"/>
      <c r="G696" s="291">
        <v>22.95</v>
      </c>
    </row>
    <row r="697" spans="1:8" ht="18">
      <c r="A697" s="168"/>
      <c r="B697" s="177"/>
      <c r="C697" s="174"/>
      <c r="D697" s="292" t="s">
        <v>154</v>
      </c>
      <c r="E697" s="194"/>
      <c r="F697" s="174"/>
      <c r="G697" s="291"/>
    </row>
    <row r="698" spans="1:8" ht="18">
      <c r="A698" s="168"/>
      <c r="B698" s="177"/>
      <c r="C698" s="174"/>
      <c r="D698" s="292" t="s">
        <v>223</v>
      </c>
      <c r="E698" s="194"/>
      <c r="F698" s="174"/>
      <c r="G698" s="291">
        <f>SUM(G685:G697)</f>
        <v>17589.550800000001</v>
      </c>
    </row>
    <row r="699" spans="1:8" ht="18">
      <c r="A699" s="168"/>
      <c r="B699" s="177"/>
      <c r="C699" s="174"/>
      <c r="D699" s="293" t="s">
        <v>222</v>
      </c>
      <c r="E699" s="194"/>
      <c r="F699" s="174"/>
      <c r="G699" s="267">
        <f>ROUNDUP((G698/10),1)</f>
        <v>1759</v>
      </c>
    </row>
    <row r="700" spans="1:8" ht="18">
      <c r="A700" s="168"/>
      <c r="B700" s="169"/>
      <c r="C700" s="170"/>
      <c r="D700" s="277"/>
      <c r="E700" s="170"/>
      <c r="F700" s="170"/>
      <c r="G700" s="195"/>
    </row>
    <row r="701" spans="1:8" ht="234">
      <c r="A701" s="168">
        <f>A683+1</f>
        <v>31</v>
      </c>
      <c r="B701" s="169"/>
      <c r="C701" s="170"/>
      <c r="D701" s="277" t="str">
        <f>'BOQ-C&amp;I'!C155</f>
        <v xml:space="preserve">Providing and fixing of flooring with best approved quality of  ceramic tiles  (Anti-skid) of various sizes over a base layer of cement mortar 1:4 (One Cement and three of M.sand) 20mm thick  and pointing with same colour cement neatly etc., including finishing the joints and appointing flush with even surfaces etc., as directed.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officers.The sample and desing should be got approved </v>
      </c>
      <c r="E701" s="170"/>
      <c r="F701" s="170"/>
      <c r="G701" s="195"/>
    </row>
    <row r="702" spans="1:8" ht="18">
      <c r="A702" s="168"/>
      <c r="B702" s="177"/>
      <c r="C702" s="174"/>
      <c r="D702" s="178"/>
      <c r="E702" s="192"/>
      <c r="F702" s="174"/>
      <c r="G702" s="193"/>
      <c r="H702" s="276"/>
    </row>
    <row r="703" spans="1:8" ht="18">
      <c r="A703" s="168"/>
      <c r="B703" s="177">
        <v>10</v>
      </c>
      <c r="C703" s="174" t="s">
        <v>1489</v>
      </c>
      <c r="D703" s="178" t="s">
        <v>1731</v>
      </c>
      <c r="E703" s="192">
        <f>Material!D26/(0.305*0.305)</f>
        <v>377.85541521096479</v>
      </c>
      <c r="F703" s="174" t="s">
        <v>9</v>
      </c>
      <c r="G703" s="291">
        <f>E703*B703</f>
        <v>3778.5541521096479</v>
      </c>
      <c r="H703" s="276"/>
    </row>
    <row r="704" spans="1:8" ht="18">
      <c r="A704" s="168"/>
      <c r="B704" s="177">
        <v>0.21</v>
      </c>
      <c r="C704" s="174" t="s">
        <v>348</v>
      </c>
      <c r="D704" s="178" t="s">
        <v>1735</v>
      </c>
      <c r="E704" s="192">
        <f>G33</f>
        <v>3730.48</v>
      </c>
      <c r="F704" s="174" t="s">
        <v>9</v>
      </c>
      <c r="G704" s="291">
        <f t="shared" ref="G704:G715" si="17">E704*B704</f>
        <v>783.4008</v>
      </c>
      <c r="H704" s="276"/>
    </row>
    <row r="705" spans="1:8" ht="18">
      <c r="A705" s="168"/>
      <c r="B705" s="177"/>
      <c r="C705" s="174"/>
      <c r="D705" s="178" t="s">
        <v>1732</v>
      </c>
      <c r="E705" s="192"/>
      <c r="F705" s="174"/>
      <c r="G705" s="291">
        <f t="shared" si="17"/>
        <v>0</v>
      </c>
      <c r="H705" s="276"/>
    </row>
    <row r="706" spans="1:8" ht="18">
      <c r="A706" s="168"/>
      <c r="B706" s="177">
        <v>1.1000000000000001</v>
      </c>
      <c r="C706" s="174" t="s">
        <v>204</v>
      </c>
      <c r="D706" s="178" t="s">
        <v>207</v>
      </c>
      <c r="E706" s="192">
        <f>Labour!E6</f>
        <v>618</v>
      </c>
      <c r="F706" s="174" t="s">
        <v>204</v>
      </c>
      <c r="G706" s="291">
        <f t="shared" si="17"/>
        <v>679.80000000000007</v>
      </c>
      <c r="H706" s="276"/>
    </row>
    <row r="707" spans="1:8" ht="18">
      <c r="A707" s="168"/>
      <c r="B707" s="177">
        <v>1.1000000000000001</v>
      </c>
      <c r="C707" s="174" t="s">
        <v>204</v>
      </c>
      <c r="D707" s="178" t="s">
        <v>206</v>
      </c>
      <c r="E707" s="192">
        <f>Labour!E7</f>
        <v>507</v>
      </c>
      <c r="F707" s="174" t="s">
        <v>204</v>
      </c>
      <c r="G707" s="291">
        <f t="shared" si="17"/>
        <v>557.70000000000005</v>
      </c>
      <c r="H707" s="276"/>
    </row>
    <row r="708" spans="1:8" ht="18">
      <c r="A708" s="168"/>
      <c r="B708" s="177">
        <v>2.2000000000000002</v>
      </c>
      <c r="C708" s="174" t="s">
        <v>204</v>
      </c>
      <c r="D708" s="178" t="s">
        <v>205</v>
      </c>
      <c r="E708" s="192">
        <f>Labour!E8</f>
        <v>756</v>
      </c>
      <c r="F708" s="174" t="s">
        <v>204</v>
      </c>
      <c r="G708" s="291">
        <f t="shared" si="17"/>
        <v>1663.2</v>
      </c>
      <c r="H708" s="276"/>
    </row>
    <row r="709" spans="1:8" ht="18">
      <c r="A709" s="168"/>
      <c r="B709" s="177">
        <v>2.2000000000000002</v>
      </c>
      <c r="C709" s="174" t="s">
        <v>204</v>
      </c>
      <c r="D709" s="178" t="s">
        <v>203</v>
      </c>
      <c r="E709" s="192">
        <f>Labour!E9</f>
        <v>732</v>
      </c>
      <c r="F709" s="174" t="s">
        <v>204</v>
      </c>
      <c r="G709" s="291">
        <f t="shared" si="17"/>
        <v>1610.4</v>
      </c>
      <c r="H709" s="276"/>
    </row>
    <row r="710" spans="1:8" ht="18">
      <c r="A710" s="168"/>
      <c r="B710" s="177">
        <v>20</v>
      </c>
      <c r="C710" s="174" t="s">
        <v>209</v>
      </c>
      <c r="D710" s="178" t="s">
        <v>355</v>
      </c>
      <c r="E710" s="192">
        <f>'Lead Statement'!I13</f>
        <v>6040</v>
      </c>
      <c r="F710" s="174" t="s">
        <v>209</v>
      </c>
      <c r="G710" s="291">
        <f>E710*B710/1000</f>
        <v>120.8</v>
      </c>
      <c r="H710" s="276"/>
    </row>
    <row r="711" spans="1:8" ht="18">
      <c r="A711" s="168"/>
      <c r="B711" s="177">
        <v>2</v>
      </c>
      <c r="C711" s="174" t="s">
        <v>209</v>
      </c>
      <c r="D711" s="178" t="s">
        <v>1733</v>
      </c>
      <c r="E711" s="192">
        <v>36.1</v>
      </c>
      <c r="F711" s="174" t="s">
        <v>209</v>
      </c>
      <c r="G711" s="291">
        <f t="shared" si="17"/>
        <v>72.2</v>
      </c>
      <c r="H711" s="276"/>
    </row>
    <row r="712" spans="1:8" ht="18">
      <c r="A712" s="168"/>
      <c r="B712" s="177">
        <v>1.6</v>
      </c>
      <c r="C712" s="174" t="s">
        <v>204</v>
      </c>
      <c r="D712" s="178" t="s">
        <v>206</v>
      </c>
      <c r="E712" s="192">
        <f>Labour!E5</f>
        <v>884</v>
      </c>
      <c r="F712" s="174" t="s">
        <v>204</v>
      </c>
      <c r="G712" s="291">
        <f t="shared" si="17"/>
        <v>1414.4</v>
      </c>
      <c r="H712" s="276"/>
    </row>
    <row r="713" spans="1:8" ht="18">
      <c r="A713" s="168"/>
      <c r="B713" s="177">
        <v>0.5</v>
      </c>
      <c r="C713" s="174" t="s">
        <v>204</v>
      </c>
      <c r="D713" s="178" t="s">
        <v>205</v>
      </c>
      <c r="E713" s="192">
        <f>Labour!E6</f>
        <v>618</v>
      </c>
      <c r="F713" s="174" t="s">
        <v>204</v>
      </c>
      <c r="G713" s="291">
        <f t="shared" si="17"/>
        <v>309</v>
      </c>
      <c r="H713" s="276"/>
    </row>
    <row r="714" spans="1:8" ht="18">
      <c r="A714" s="168"/>
      <c r="B714" s="177">
        <v>1.1000000000000001</v>
      </c>
      <c r="C714" s="174" t="s">
        <v>204</v>
      </c>
      <c r="D714" s="178" t="s">
        <v>203</v>
      </c>
      <c r="E714" s="192">
        <f>Labour!E7</f>
        <v>507</v>
      </c>
      <c r="F714" s="174" t="s">
        <v>204</v>
      </c>
      <c r="G714" s="291">
        <f t="shared" si="17"/>
        <v>557.70000000000005</v>
      </c>
      <c r="H714" s="276"/>
    </row>
    <row r="715" spans="1:8" ht="18">
      <c r="A715" s="168"/>
      <c r="B715" s="177"/>
      <c r="C715" s="174" t="s">
        <v>1604</v>
      </c>
      <c r="D715" s="178" t="s">
        <v>1734</v>
      </c>
      <c r="E715" s="192"/>
      <c r="F715" s="174" t="s">
        <v>1604</v>
      </c>
      <c r="G715" s="291">
        <f t="shared" si="17"/>
        <v>0</v>
      </c>
      <c r="H715" s="276"/>
    </row>
    <row r="716" spans="1:8" ht="18">
      <c r="A716" s="168"/>
      <c r="B716" s="177"/>
      <c r="C716" s="174"/>
      <c r="D716" s="292" t="s">
        <v>223</v>
      </c>
      <c r="E716" s="192"/>
      <c r="F716" s="174"/>
      <c r="G716" s="193">
        <f>SUM(G703:G715)</f>
        <v>11547.154952109648</v>
      </c>
      <c r="H716" s="276"/>
    </row>
    <row r="717" spans="1:8" ht="18">
      <c r="A717" s="168"/>
      <c r="B717" s="177"/>
      <c r="C717" s="174"/>
      <c r="D717" s="293" t="s">
        <v>222</v>
      </c>
      <c r="E717" s="192"/>
      <c r="F717" s="174"/>
      <c r="G717" s="193">
        <f>G716/10</f>
        <v>1154.7154952109647</v>
      </c>
      <c r="H717" s="276"/>
    </row>
    <row r="718" spans="1:8" ht="18">
      <c r="A718" s="168"/>
      <c r="B718" s="177"/>
      <c r="C718" s="174"/>
      <c r="D718" s="286"/>
      <c r="E718" s="194"/>
      <c r="F718" s="174"/>
      <c r="G718" s="193"/>
    </row>
    <row r="719" spans="1:8" ht="252">
      <c r="A719" s="168">
        <f>A701+1</f>
        <v>32</v>
      </c>
      <c r="B719" s="169"/>
      <c r="C719" s="168"/>
      <c r="D719" s="277" t="str">
        <f>'BOQ-C&amp;I'!C156</f>
        <v xml:space="preserve">Supply and laying with best quality the following materials of Machine Polished granite slab for wash basin counter top of 18 to 20mm thick (Jet Black) including cutting for wash basin and edge polishing to be set in CM 1:4 (1 of cement : 4 of M.sand) 20 mm thick including finishing the joints with white cement slurry, cutting, edge chamfering to approved shape and polishing rough, medium, nice and tin-oxide polish.Rate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and desing should be got approved. </v>
      </c>
      <c r="E719" s="172"/>
      <c r="F719" s="168"/>
      <c r="G719" s="195"/>
    </row>
    <row r="720" spans="1:8" ht="36">
      <c r="A720" s="168"/>
      <c r="B720" s="177">
        <v>10.5</v>
      </c>
      <c r="C720" s="174" t="s">
        <v>1630</v>
      </c>
      <c r="D720" s="178" t="s">
        <v>723</v>
      </c>
      <c r="E720" s="192">
        <f>Material!D27</f>
        <v>1737</v>
      </c>
      <c r="F720" s="174" t="s">
        <v>1630</v>
      </c>
      <c r="G720" s="291">
        <f>B720*E720</f>
        <v>18238.5</v>
      </c>
    </row>
    <row r="721" spans="1:7" ht="18">
      <c r="A721" s="168"/>
      <c r="B721" s="177">
        <v>0.12</v>
      </c>
      <c r="C721" s="174" t="s">
        <v>218</v>
      </c>
      <c r="D721" s="178" t="s">
        <v>225</v>
      </c>
      <c r="E721" s="192">
        <f>G33</f>
        <v>3730.48</v>
      </c>
      <c r="F721" s="174" t="s">
        <v>155</v>
      </c>
      <c r="G721" s="291">
        <f>B721*E721</f>
        <v>447.6576</v>
      </c>
    </row>
    <row r="722" spans="1:7" ht="18">
      <c r="A722" s="168"/>
      <c r="B722" s="177">
        <v>10</v>
      </c>
      <c r="C722" s="174" t="s">
        <v>209</v>
      </c>
      <c r="D722" s="178" t="s">
        <v>245</v>
      </c>
      <c r="E722" s="192">
        <f>Material!D24</f>
        <v>27.25</v>
      </c>
      <c r="F722" s="174" t="s">
        <v>162</v>
      </c>
      <c r="G722" s="291">
        <f>B722*E722</f>
        <v>272.5</v>
      </c>
    </row>
    <row r="723" spans="1:7" ht="18">
      <c r="A723" s="168"/>
      <c r="B723" s="177"/>
      <c r="C723" s="174"/>
      <c r="D723" s="178" t="s">
        <v>221</v>
      </c>
      <c r="E723" s="192"/>
      <c r="F723" s="174"/>
      <c r="G723" s="291"/>
    </row>
    <row r="724" spans="1:7" ht="18">
      <c r="A724" s="168"/>
      <c r="B724" s="177">
        <v>1.1000000000000001</v>
      </c>
      <c r="C724" s="174" t="s">
        <v>51</v>
      </c>
      <c r="D724" s="178" t="s">
        <v>215</v>
      </c>
      <c r="E724" s="192">
        <f>Labour!E4</f>
        <v>947</v>
      </c>
      <c r="F724" s="174" t="s">
        <v>165</v>
      </c>
      <c r="G724" s="291">
        <f>B724*E724</f>
        <v>1041.7</v>
      </c>
    </row>
    <row r="725" spans="1:7" ht="18">
      <c r="A725" s="168"/>
      <c r="B725" s="177">
        <v>2.1</v>
      </c>
      <c r="C725" s="174" t="s">
        <v>51</v>
      </c>
      <c r="D725" s="178" t="s">
        <v>224</v>
      </c>
      <c r="E725" s="192">
        <f>Labour!E5</f>
        <v>884</v>
      </c>
      <c r="F725" s="174" t="s">
        <v>165</v>
      </c>
      <c r="G725" s="291">
        <f>B725*E725</f>
        <v>1856.4</v>
      </c>
    </row>
    <row r="726" spans="1:7" ht="18">
      <c r="A726" s="168"/>
      <c r="B726" s="177">
        <v>0.5</v>
      </c>
      <c r="C726" s="174" t="s">
        <v>51</v>
      </c>
      <c r="D726" s="178" t="s">
        <v>244</v>
      </c>
      <c r="E726" s="192">
        <f>Labour!E16</f>
        <v>727</v>
      </c>
      <c r="F726" s="174" t="s">
        <v>165</v>
      </c>
      <c r="G726" s="291">
        <f>B726*E726</f>
        <v>363.5</v>
      </c>
    </row>
    <row r="727" spans="1:7" ht="18">
      <c r="A727" s="168"/>
      <c r="B727" s="177">
        <v>2.2000000000000002</v>
      </c>
      <c r="C727" s="174" t="s">
        <v>51</v>
      </c>
      <c r="D727" s="178" t="s">
        <v>151</v>
      </c>
      <c r="E727" s="192">
        <f>Labour!E6</f>
        <v>618</v>
      </c>
      <c r="F727" s="174" t="s">
        <v>165</v>
      </c>
      <c r="G727" s="291">
        <f>B727*E727</f>
        <v>1359.6000000000001</v>
      </c>
    </row>
    <row r="728" spans="1:7" ht="18">
      <c r="A728" s="168"/>
      <c r="B728" s="177">
        <v>1.1000000000000001</v>
      </c>
      <c r="C728" s="174" t="s">
        <v>51</v>
      </c>
      <c r="D728" s="178" t="s">
        <v>150</v>
      </c>
      <c r="E728" s="192">
        <f>Labour!E7</f>
        <v>507</v>
      </c>
      <c r="F728" s="174" t="s">
        <v>165</v>
      </c>
      <c r="G728" s="291">
        <f>B728*E728</f>
        <v>557.70000000000005</v>
      </c>
    </row>
    <row r="729" spans="1:7" ht="36">
      <c r="A729" s="168"/>
      <c r="B729" s="177" t="s">
        <v>159</v>
      </c>
      <c r="C729" s="174"/>
      <c r="D729" s="178" t="s">
        <v>242</v>
      </c>
      <c r="E729" s="192" t="s">
        <v>159</v>
      </c>
      <c r="F729" s="174"/>
      <c r="G729" s="291">
        <v>11.95</v>
      </c>
    </row>
    <row r="730" spans="1:7" ht="126">
      <c r="A730" s="168"/>
      <c r="B730" s="177">
        <v>13.33</v>
      </c>
      <c r="C730" s="174" t="s">
        <v>51</v>
      </c>
      <c r="D730" s="178" t="s">
        <v>980</v>
      </c>
      <c r="E730" s="192">
        <v>400</v>
      </c>
      <c r="F730" s="174" t="s">
        <v>253</v>
      </c>
      <c r="G730" s="291">
        <f>B730*E730</f>
        <v>5332</v>
      </c>
    </row>
    <row r="731" spans="1:7" ht="18">
      <c r="A731" s="168"/>
      <c r="B731" s="177"/>
      <c r="C731" s="174"/>
      <c r="D731" s="178" t="s">
        <v>252</v>
      </c>
      <c r="E731" s="194"/>
      <c r="F731" s="174"/>
      <c r="G731" s="291">
        <v>1.95</v>
      </c>
    </row>
    <row r="732" spans="1:7" ht="18">
      <c r="A732" s="168"/>
      <c r="B732" s="177"/>
      <c r="C732" s="174"/>
      <c r="D732" s="178" t="s">
        <v>223</v>
      </c>
      <c r="E732" s="194"/>
      <c r="F732" s="174"/>
      <c r="G732" s="291">
        <f>SUM(G720:G731)</f>
        <v>29483.457600000002</v>
      </c>
    </row>
    <row r="733" spans="1:7" ht="18">
      <c r="A733" s="168"/>
      <c r="B733" s="177"/>
      <c r="C733" s="174"/>
      <c r="D733" s="286" t="s">
        <v>222</v>
      </c>
      <c r="E733" s="194"/>
      <c r="F733" s="174"/>
      <c r="G733" s="267">
        <f>ROUNDUP((G732/10),0)</f>
        <v>2949</v>
      </c>
    </row>
    <row r="734" spans="1:7" ht="18">
      <c r="A734" s="168"/>
      <c r="B734" s="177"/>
      <c r="C734" s="174"/>
      <c r="D734" s="178"/>
      <c r="E734" s="194"/>
      <c r="F734" s="174"/>
      <c r="G734" s="291"/>
    </row>
    <row r="735" spans="1:7" ht="306">
      <c r="A735" s="168">
        <f>A719+1</f>
        <v>33</v>
      </c>
      <c r="B735" s="177"/>
      <c r="C735" s="174"/>
      <c r="D735" s="223" t="str">
        <f>'BOQ-C&amp;I'!C157</f>
        <v xml:space="preserve">Supply and Laying flooring with best quality of Granite slab leather finish 18 to 20mm thick (Steel Grey, Sira Grey, Ruby Red, SK Blue, Raw silk, Antique Brown) of size not less than 1200 x 600 mm  machine cut with approved pattern in a single colour/multiple colour and set in C.M 1:4 (1 of cement : 4 of M.sand) 20 mm thick topped with white cement slurry (for surface contact of the bottom of the granite slab) as per approved pattern, including finishing the joints with matching shade, cement slurry, cutting, edge chamfering and polishing rough, medium, nice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should be got approvd. </v>
      </c>
      <c r="E735" s="194"/>
      <c r="F735" s="174"/>
      <c r="G735" s="291"/>
    </row>
    <row r="736" spans="1:7" ht="18">
      <c r="A736" s="168"/>
      <c r="B736" s="177"/>
      <c r="C736" s="174"/>
      <c r="D736" s="286" t="s">
        <v>238</v>
      </c>
      <c r="E736" s="194"/>
      <c r="F736" s="174"/>
      <c r="G736" s="291"/>
    </row>
    <row r="737" spans="1:7" ht="36">
      <c r="A737" s="168"/>
      <c r="B737" s="177">
        <v>10</v>
      </c>
      <c r="C737" s="174" t="s">
        <v>1630</v>
      </c>
      <c r="D737" s="178" t="s">
        <v>251</v>
      </c>
      <c r="E737" s="192">
        <f>Material!D28</f>
        <v>1626</v>
      </c>
      <c r="F737" s="174" t="s">
        <v>1630</v>
      </c>
      <c r="G737" s="291">
        <f>B737*E737</f>
        <v>16260</v>
      </c>
    </row>
    <row r="738" spans="1:7" ht="18">
      <c r="A738" s="168"/>
      <c r="B738" s="177">
        <v>0.21</v>
      </c>
      <c r="C738" s="174" t="s">
        <v>218</v>
      </c>
      <c r="D738" s="178" t="s">
        <v>250</v>
      </c>
      <c r="E738" s="192">
        <f>G33</f>
        <v>3730.48</v>
      </c>
      <c r="F738" s="174" t="s">
        <v>155</v>
      </c>
      <c r="G738" s="291">
        <f>B738*E738</f>
        <v>783.4008</v>
      </c>
    </row>
    <row r="739" spans="1:7" ht="18">
      <c r="A739" s="168"/>
      <c r="B739" s="177">
        <v>6</v>
      </c>
      <c r="C739" s="174" t="s">
        <v>209</v>
      </c>
      <c r="D739" s="178" t="s">
        <v>239</v>
      </c>
      <c r="E739" s="192">
        <f>Material!D24</f>
        <v>27.25</v>
      </c>
      <c r="F739" s="174" t="s">
        <v>162</v>
      </c>
      <c r="G739" s="291">
        <f>B739*E739</f>
        <v>163.5</v>
      </c>
    </row>
    <row r="740" spans="1:7" ht="18">
      <c r="A740" s="168"/>
      <c r="B740" s="177"/>
      <c r="C740" s="174"/>
      <c r="D740" s="178" t="s">
        <v>221</v>
      </c>
      <c r="E740" s="192"/>
      <c r="F740" s="174"/>
      <c r="G740" s="291"/>
    </row>
    <row r="741" spans="1:7" ht="18">
      <c r="A741" s="168"/>
      <c r="B741" s="177">
        <v>3</v>
      </c>
      <c r="C741" s="174" t="s">
        <v>51</v>
      </c>
      <c r="D741" s="178" t="s">
        <v>215</v>
      </c>
      <c r="E741" s="192">
        <f>Labour!E4</f>
        <v>947</v>
      </c>
      <c r="F741" s="174" t="s">
        <v>165</v>
      </c>
      <c r="G741" s="291">
        <f t="shared" ref="G741:G746" si="18">B741*E741</f>
        <v>2841</v>
      </c>
    </row>
    <row r="742" spans="1:7" ht="18">
      <c r="A742" s="168"/>
      <c r="B742" s="177">
        <v>1.25</v>
      </c>
      <c r="C742" s="174" t="s">
        <v>51</v>
      </c>
      <c r="D742" s="178" t="s">
        <v>224</v>
      </c>
      <c r="E742" s="192">
        <f>Labour!E5</f>
        <v>884</v>
      </c>
      <c r="F742" s="174" t="s">
        <v>165</v>
      </c>
      <c r="G742" s="291">
        <f t="shared" si="18"/>
        <v>1105</v>
      </c>
    </row>
    <row r="743" spans="1:7" ht="18">
      <c r="A743" s="168"/>
      <c r="B743" s="177">
        <v>0.5</v>
      </c>
      <c r="C743" s="174" t="s">
        <v>51</v>
      </c>
      <c r="D743" s="178" t="s">
        <v>244</v>
      </c>
      <c r="E743" s="192">
        <f>Labour!E16</f>
        <v>727</v>
      </c>
      <c r="F743" s="174" t="s">
        <v>165</v>
      </c>
      <c r="G743" s="291">
        <f t="shared" si="18"/>
        <v>363.5</v>
      </c>
    </row>
    <row r="744" spans="1:7" ht="18">
      <c r="A744" s="168"/>
      <c r="B744" s="177">
        <v>8</v>
      </c>
      <c r="C744" s="174" t="s">
        <v>51</v>
      </c>
      <c r="D744" s="178" t="s">
        <v>151</v>
      </c>
      <c r="E744" s="192">
        <f>Labour!E6</f>
        <v>618</v>
      </c>
      <c r="F744" s="174" t="s">
        <v>165</v>
      </c>
      <c r="G744" s="291">
        <f t="shared" si="18"/>
        <v>4944</v>
      </c>
    </row>
    <row r="745" spans="1:7" ht="18">
      <c r="A745" s="168"/>
      <c r="B745" s="177">
        <v>7</v>
      </c>
      <c r="C745" s="174" t="s">
        <v>51</v>
      </c>
      <c r="D745" s="178" t="s">
        <v>150</v>
      </c>
      <c r="E745" s="192">
        <f>Labour!E7</f>
        <v>507</v>
      </c>
      <c r="F745" s="174" t="s">
        <v>165</v>
      </c>
      <c r="G745" s="291">
        <f t="shared" si="18"/>
        <v>3549</v>
      </c>
    </row>
    <row r="746" spans="1:7" ht="18">
      <c r="A746" s="168"/>
      <c r="B746" s="177">
        <v>10</v>
      </c>
      <c r="C746" s="174" t="s">
        <v>177</v>
      </c>
      <c r="D746" s="178" t="s">
        <v>243</v>
      </c>
      <c r="E746" s="192">
        <f>50*10.764</f>
        <v>538.19999999999993</v>
      </c>
      <c r="F746" s="174" t="s">
        <v>177</v>
      </c>
      <c r="G746" s="291">
        <f t="shared" si="18"/>
        <v>5381.9999999999991</v>
      </c>
    </row>
    <row r="747" spans="1:7" ht="36">
      <c r="A747" s="168"/>
      <c r="B747" s="177" t="s">
        <v>159</v>
      </c>
      <c r="C747" s="174"/>
      <c r="D747" s="178" t="s">
        <v>242</v>
      </c>
      <c r="E747" s="192" t="s">
        <v>159</v>
      </c>
      <c r="F747" s="174"/>
      <c r="G747" s="291">
        <v>44.7</v>
      </c>
    </row>
    <row r="748" spans="1:7" ht="18">
      <c r="A748" s="168"/>
      <c r="B748" s="169"/>
      <c r="C748" s="170"/>
      <c r="D748" s="277" t="s">
        <v>241</v>
      </c>
      <c r="E748" s="172"/>
      <c r="F748" s="168"/>
      <c r="G748" s="195">
        <v>7.71</v>
      </c>
    </row>
    <row r="749" spans="1:7" ht="18">
      <c r="A749" s="168"/>
      <c r="B749" s="177"/>
      <c r="C749" s="174"/>
      <c r="D749" s="178" t="s">
        <v>223</v>
      </c>
      <c r="E749" s="192"/>
      <c r="F749" s="174"/>
      <c r="G749" s="291">
        <f>SUM(G737:G748)</f>
        <v>35443.810799999992</v>
      </c>
    </row>
    <row r="750" spans="1:7" ht="18">
      <c r="A750" s="168"/>
      <c r="B750" s="177"/>
      <c r="C750" s="174"/>
      <c r="D750" s="286" t="s">
        <v>222</v>
      </c>
      <c r="E750" s="192"/>
      <c r="F750" s="174"/>
      <c r="G750" s="267">
        <f>ROUNDUP((G749/10),1)</f>
        <v>3544.4</v>
      </c>
    </row>
    <row r="751" spans="1:7" ht="18">
      <c r="A751" s="168"/>
      <c r="B751" s="177"/>
      <c r="C751" s="174"/>
      <c r="D751" s="286" t="s">
        <v>249</v>
      </c>
      <c r="E751" s="192"/>
      <c r="F751" s="174"/>
      <c r="G751" s="193"/>
    </row>
    <row r="752" spans="1:7" ht="18">
      <c r="A752" s="168"/>
      <c r="B752" s="177"/>
      <c r="C752" s="174"/>
      <c r="D752" s="178"/>
      <c r="E752" s="194"/>
      <c r="F752" s="174"/>
      <c r="G752" s="291"/>
    </row>
    <row r="753" spans="1:7" ht="324">
      <c r="A753" s="168">
        <f>A735+1</f>
        <v>34</v>
      </c>
      <c r="B753" s="177"/>
      <c r="C753" s="174"/>
      <c r="D753" s="223" t="str">
        <f>'BOQ-C&amp;I'!C158</f>
        <v xml:space="preserve">Supply and Laying flooring with best quality approved colour Granite slab Polished finish 18 to 20mm thick (Green teak, Fox brown, Royal brown, Ruby Red and Raw silk) of size not less than 1200 x 600 mm  machine cut with approved pattern in a single colour/multiple colour and set in C.M 1:4 (1 of cement : 4 of M.sand) 20 mm thick topped with white cement slurry (for surface contact of the bottom of the granite slab) as per approved pattern, including finishing the joints with matching shade, cement slurry, cutting, edge chamfering and polishing rough, medium, nice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should be got approvd </v>
      </c>
      <c r="E753" s="194"/>
      <c r="F753" s="174"/>
      <c r="G753" s="291"/>
    </row>
    <row r="754" spans="1:7" ht="18">
      <c r="A754" s="168"/>
      <c r="B754" s="177"/>
      <c r="C754" s="174"/>
      <c r="D754" s="286" t="s">
        <v>238</v>
      </c>
      <c r="E754" s="194"/>
      <c r="F754" s="174"/>
      <c r="G754" s="291"/>
    </row>
    <row r="755" spans="1:7" ht="36">
      <c r="A755" s="168"/>
      <c r="B755" s="177">
        <v>10</v>
      </c>
      <c r="C755" s="174" t="s">
        <v>1630</v>
      </c>
      <c r="D755" s="178" t="s">
        <v>251</v>
      </c>
      <c r="E755" s="192">
        <f>Material!D28</f>
        <v>1626</v>
      </c>
      <c r="F755" s="174" t="s">
        <v>1630</v>
      </c>
      <c r="G755" s="291">
        <f>B755*E755</f>
        <v>16260</v>
      </c>
    </row>
    <row r="756" spans="1:7" ht="18">
      <c r="A756" s="168"/>
      <c r="B756" s="177">
        <v>0.21</v>
      </c>
      <c r="C756" s="174" t="s">
        <v>218</v>
      </c>
      <c r="D756" s="178" t="s">
        <v>250</v>
      </c>
      <c r="E756" s="192">
        <f>G33</f>
        <v>3730.48</v>
      </c>
      <c r="F756" s="174" t="s">
        <v>155</v>
      </c>
      <c r="G756" s="291">
        <f>B756*E756</f>
        <v>783.4008</v>
      </c>
    </row>
    <row r="757" spans="1:7" ht="18">
      <c r="A757" s="168"/>
      <c r="B757" s="177">
        <v>6</v>
      </c>
      <c r="C757" s="174" t="s">
        <v>209</v>
      </c>
      <c r="D757" s="178" t="s">
        <v>239</v>
      </c>
      <c r="E757" s="192">
        <f>Material!D24</f>
        <v>27.25</v>
      </c>
      <c r="F757" s="174" t="s">
        <v>162</v>
      </c>
      <c r="G757" s="291">
        <f>B757*E757</f>
        <v>163.5</v>
      </c>
    </row>
    <row r="758" spans="1:7" ht="18">
      <c r="A758" s="168"/>
      <c r="B758" s="177"/>
      <c r="C758" s="174"/>
      <c r="D758" s="178" t="s">
        <v>221</v>
      </c>
      <c r="E758" s="192"/>
      <c r="F758" s="174"/>
      <c r="G758" s="291"/>
    </row>
    <row r="759" spans="1:7" ht="18">
      <c r="A759" s="168"/>
      <c r="B759" s="177">
        <v>3</v>
      </c>
      <c r="C759" s="174" t="s">
        <v>51</v>
      </c>
      <c r="D759" s="178" t="s">
        <v>215</v>
      </c>
      <c r="E759" s="192">
        <f>E741</f>
        <v>947</v>
      </c>
      <c r="F759" s="174" t="s">
        <v>165</v>
      </c>
      <c r="G759" s="291">
        <f>B759*E759</f>
        <v>2841</v>
      </c>
    </row>
    <row r="760" spans="1:7" ht="18">
      <c r="A760" s="168"/>
      <c r="B760" s="177">
        <v>1.25</v>
      </c>
      <c r="C760" s="174" t="s">
        <v>51</v>
      </c>
      <c r="D760" s="178" t="s">
        <v>224</v>
      </c>
      <c r="E760" s="192">
        <f>E742</f>
        <v>884</v>
      </c>
      <c r="F760" s="174" t="s">
        <v>165</v>
      </c>
      <c r="G760" s="291">
        <f>B760*E760</f>
        <v>1105</v>
      </c>
    </row>
    <row r="761" spans="1:7" ht="18">
      <c r="A761" s="168"/>
      <c r="B761" s="177">
        <v>0.5</v>
      </c>
      <c r="C761" s="174" t="s">
        <v>51</v>
      </c>
      <c r="D761" s="178" t="s">
        <v>244</v>
      </c>
      <c r="E761" s="192">
        <f>E743</f>
        <v>727</v>
      </c>
      <c r="F761" s="174" t="s">
        <v>165</v>
      </c>
      <c r="G761" s="291">
        <f>B761*E761</f>
        <v>363.5</v>
      </c>
    </row>
    <row r="762" spans="1:7" ht="18">
      <c r="A762" s="168"/>
      <c r="B762" s="177">
        <v>8</v>
      </c>
      <c r="C762" s="174" t="s">
        <v>51</v>
      </c>
      <c r="D762" s="178" t="s">
        <v>151</v>
      </c>
      <c r="E762" s="192">
        <f>E744</f>
        <v>618</v>
      </c>
      <c r="F762" s="174" t="s">
        <v>165</v>
      </c>
      <c r="G762" s="291">
        <f>B762*E762</f>
        <v>4944</v>
      </c>
    </row>
    <row r="763" spans="1:7" ht="18">
      <c r="A763" s="168"/>
      <c r="B763" s="177">
        <v>7</v>
      </c>
      <c r="C763" s="174" t="s">
        <v>51</v>
      </c>
      <c r="D763" s="178" t="s">
        <v>150</v>
      </c>
      <c r="E763" s="192">
        <f>E745</f>
        <v>507</v>
      </c>
      <c r="F763" s="174" t="s">
        <v>165</v>
      </c>
      <c r="G763" s="291">
        <f>B763*E763</f>
        <v>3549</v>
      </c>
    </row>
    <row r="764" spans="1:7" ht="36">
      <c r="A764" s="168"/>
      <c r="B764" s="177" t="s">
        <v>159</v>
      </c>
      <c r="C764" s="174"/>
      <c r="D764" s="178" t="s">
        <v>242</v>
      </c>
      <c r="E764" s="192" t="s">
        <v>159</v>
      </c>
      <c r="F764" s="174"/>
      <c r="G764" s="291">
        <v>25</v>
      </c>
    </row>
    <row r="765" spans="1:7" ht="18">
      <c r="A765" s="168"/>
      <c r="B765" s="169"/>
      <c r="C765" s="170"/>
      <c r="D765" s="277" t="s">
        <v>241</v>
      </c>
      <c r="E765" s="170"/>
      <c r="F765" s="168"/>
      <c r="G765" s="195">
        <v>9.7100000000000009</v>
      </c>
    </row>
    <row r="766" spans="1:7" ht="18">
      <c r="A766" s="168"/>
      <c r="B766" s="177"/>
      <c r="C766" s="174"/>
      <c r="D766" s="178" t="s">
        <v>223</v>
      </c>
      <c r="E766" s="194"/>
      <c r="F766" s="174"/>
      <c r="G766" s="291">
        <f>SUM(G755:G765)</f>
        <v>30044.110799999999</v>
      </c>
    </row>
    <row r="767" spans="1:7" ht="18">
      <c r="A767" s="168"/>
      <c r="B767" s="177"/>
      <c r="C767" s="174"/>
      <c r="D767" s="286" t="s">
        <v>222</v>
      </c>
      <c r="E767" s="194"/>
      <c r="F767" s="174"/>
      <c r="G767" s="267">
        <f>ROUNDUP((G766/10),0)</f>
        <v>3005</v>
      </c>
    </row>
    <row r="768" spans="1:7" ht="18">
      <c r="A768" s="168"/>
      <c r="B768" s="177"/>
      <c r="C768" s="174"/>
      <c r="D768" s="286" t="s">
        <v>249</v>
      </c>
      <c r="E768" s="194"/>
      <c r="F768" s="174"/>
      <c r="G768" s="193"/>
    </row>
    <row r="769" spans="1:7" ht="18">
      <c r="A769" s="168"/>
      <c r="B769" s="177"/>
      <c r="C769" s="174"/>
      <c r="D769" s="178"/>
      <c r="E769" s="194"/>
      <c r="F769" s="174"/>
      <c r="G769" s="291"/>
    </row>
    <row r="770" spans="1:7" ht="342">
      <c r="A770" s="168">
        <f>A753+1</f>
        <v>35</v>
      </c>
      <c r="B770" s="169"/>
      <c r="C770" s="168"/>
      <c r="D770" s="223" t="str">
        <f>'BOQ-C&amp;I'!C159</f>
        <v xml:space="preserve">Supply and Laying flooring with best quality approved colour leather Granite slab 18 to 20 mm thick in a single piece (Sira grey) for each step for the entire width of the stair, machine cut and machine high pre-polished, set in C.M 1:4 (1 of cement : 4 of M.sand) 20 mm thick topped with white cement slurry (for surface contact of the bottom of the granite slab) as per approved pattern, including finishing the joints with matching shade, cement slurry, cutting, edge chamfering and polishing rough, medium, nice tin-oxide polish. Rate including wastages, preparation of surface, necessary hacking in RCC surface, cutting to required shape, edging, edge moulding anti skid &amp; grooves as per drawing, tools and plants, fuel, curing,  cleaning, acid wash over finished surface, protection with Gypsum / Pop  layer  over  plastic sheet and removing the same before handing over as complete with all respects complying with relevant standard specification and as directed by the departmental officers. The  Sample should be got approvd. </v>
      </c>
      <c r="E770" s="168"/>
      <c r="F770" s="168"/>
      <c r="G770" s="195"/>
    </row>
    <row r="771" spans="1:7" ht="18">
      <c r="A771" s="168"/>
      <c r="B771" s="177"/>
      <c r="C771" s="174"/>
      <c r="D771" s="286" t="s">
        <v>238</v>
      </c>
      <c r="E771" s="194"/>
      <c r="F771" s="174"/>
      <c r="G771" s="291"/>
    </row>
    <row r="772" spans="1:7" ht="20.25">
      <c r="A772" s="168"/>
      <c r="B772" s="177">
        <v>10</v>
      </c>
      <c r="C772" s="174" t="s">
        <v>1630</v>
      </c>
      <c r="D772" s="178" t="s">
        <v>248</v>
      </c>
      <c r="E772" s="192">
        <f>Material!D28</f>
        <v>1626</v>
      </c>
      <c r="F772" s="174" t="s">
        <v>1630</v>
      </c>
      <c r="G772" s="291">
        <f>B772*E772</f>
        <v>16260</v>
      </c>
    </row>
    <row r="773" spans="1:7" ht="36">
      <c r="A773" s="168"/>
      <c r="B773" s="177">
        <v>0.2</v>
      </c>
      <c r="C773" s="174" t="s">
        <v>1630</v>
      </c>
      <c r="D773" s="178" t="s">
        <v>247</v>
      </c>
      <c r="E773" s="192">
        <f>E737</f>
        <v>1626</v>
      </c>
      <c r="F773" s="174" t="s">
        <v>246</v>
      </c>
      <c r="G773" s="291">
        <f>B773*E773</f>
        <v>325.20000000000005</v>
      </c>
    </row>
    <row r="774" spans="1:7" ht="18">
      <c r="A774" s="168"/>
      <c r="B774" s="177">
        <v>0.21</v>
      </c>
      <c r="C774" s="174" t="s">
        <v>218</v>
      </c>
      <c r="D774" s="178" t="s">
        <v>225</v>
      </c>
      <c r="E774" s="192">
        <f>G33</f>
        <v>3730.48</v>
      </c>
      <c r="F774" s="174" t="s">
        <v>155</v>
      </c>
      <c r="G774" s="291">
        <f>B774*E774</f>
        <v>783.4008</v>
      </c>
    </row>
    <row r="775" spans="1:7" ht="18">
      <c r="A775" s="168"/>
      <c r="B775" s="177">
        <v>6</v>
      </c>
      <c r="C775" s="174" t="s">
        <v>209</v>
      </c>
      <c r="D775" s="178" t="s">
        <v>245</v>
      </c>
      <c r="E775" s="192">
        <f>Material!D24</f>
        <v>27.25</v>
      </c>
      <c r="F775" s="174" t="s">
        <v>162</v>
      </c>
      <c r="G775" s="291">
        <f>B775*E775</f>
        <v>163.5</v>
      </c>
    </row>
    <row r="776" spans="1:7" ht="18">
      <c r="A776" s="168"/>
      <c r="B776" s="177"/>
      <c r="C776" s="174"/>
      <c r="D776" s="178" t="s">
        <v>221</v>
      </c>
      <c r="E776" s="192"/>
      <c r="F776" s="174"/>
      <c r="G776" s="291"/>
    </row>
    <row r="777" spans="1:7" ht="18">
      <c r="A777" s="168"/>
      <c r="B777" s="177">
        <v>3</v>
      </c>
      <c r="C777" s="174" t="s">
        <v>51</v>
      </c>
      <c r="D777" s="178" t="s">
        <v>215</v>
      </c>
      <c r="E777" s="192">
        <f>Labour!E4</f>
        <v>947</v>
      </c>
      <c r="F777" s="174" t="s">
        <v>165</v>
      </c>
      <c r="G777" s="291">
        <f t="shared" ref="G777:G782" si="19">B777*E777</f>
        <v>2841</v>
      </c>
    </row>
    <row r="778" spans="1:7" ht="18">
      <c r="A778" s="168"/>
      <c r="B778" s="177">
        <v>1.25</v>
      </c>
      <c r="C778" s="174" t="s">
        <v>51</v>
      </c>
      <c r="D778" s="178" t="s">
        <v>224</v>
      </c>
      <c r="E778" s="192">
        <f>Labour!E5</f>
        <v>884</v>
      </c>
      <c r="F778" s="174" t="s">
        <v>165</v>
      </c>
      <c r="G778" s="291">
        <f t="shared" si="19"/>
        <v>1105</v>
      </c>
    </row>
    <row r="779" spans="1:7" ht="18">
      <c r="A779" s="168"/>
      <c r="B779" s="177">
        <v>0.5</v>
      </c>
      <c r="C779" s="174" t="s">
        <v>51</v>
      </c>
      <c r="D779" s="178" t="s">
        <v>244</v>
      </c>
      <c r="E779" s="192">
        <f>Labour!E16</f>
        <v>727</v>
      </c>
      <c r="F779" s="174" t="s">
        <v>165</v>
      </c>
      <c r="G779" s="291">
        <f t="shared" si="19"/>
        <v>363.5</v>
      </c>
    </row>
    <row r="780" spans="1:7" ht="18">
      <c r="A780" s="168"/>
      <c r="B780" s="177">
        <v>8</v>
      </c>
      <c r="C780" s="174" t="s">
        <v>51</v>
      </c>
      <c r="D780" s="178" t="s">
        <v>151</v>
      </c>
      <c r="E780" s="192">
        <f>Labour!E6</f>
        <v>618</v>
      </c>
      <c r="F780" s="174" t="s">
        <v>165</v>
      </c>
      <c r="G780" s="291">
        <f t="shared" si="19"/>
        <v>4944</v>
      </c>
    </row>
    <row r="781" spans="1:7" ht="18">
      <c r="A781" s="168"/>
      <c r="B781" s="177">
        <v>7</v>
      </c>
      <c r="C781" s="174" t="s">
        <v>51</v>
      </c>
      <c r="D781" s="178" t="s">
        <v>150</v>
      </c>
      <c r="E781" s="192">
        <f>Labour!E7</f>
        <v>507</v>
      </c>
      <c r="F781" s="174" t="s">
        <v>165</v>
      </c>
      <c r="G781" s="291">
        <f t="shared" si="19"/>
        <v>3549</v>
      </c>
    </row>
    <row r="782" spans="1:7" ht="18">
      <c r="A782" s="168"/>
      <c r="B782" s="177">
        <v>10</v>
      </c>
      <c r="C782" s="174" t="s">
        <v>177</v>
      </c>
      <c r="D782" s="178" t="s">
        <v>243</v>
      </c>
      <c r="E782" s="192">
        <f>50*10.764</f>
        <v>538.19999999999993</v>
      </c>
      <c r="F782" s="174" t="s">
        <v>177</v>
      </c>
      <c r="G782" s="291">
        <f t="shared" si="19"/>
        <v>5381.9999999999991</v>
      </c>
    </row>
    <row r="783" spans="1:7" ht="36">
      <c r="A783" s="168"/>
      <c r="B783" s="177" t="s">
        <v>159</v>
      </c>
      <c r="C783" s="174"/>
      <c r="D783" s="178" t="s">
        <v>242</v>
      </c>
      <c r="E783" s="192" t="s">
        <v>159</v>
      </c>
      <c r="F783" s="174"/>
      <c r="G783" s="291">
        <v>25.71</v>
      </c>
    </row>
    <row r="784" spans="1:7" ht="18">
      <c r="A784" s="168"/>
      <c r="B784" s="177"/>
      <c r="C784" s="174"/>
      <c r="D784" s="277" t="s">
        <v>241</v>
      </c>
      <c r="E784" s="194"/>
      <c r="F784" s="174"/>
      <c r="G784" s="291">
        <v>0.8</v>
      </c>
    </row>
    <row r="785" spans="1:8" ht="18">
      <c r="A785" s="168"/>
      <c r="B785" s="177"/>
      <c r="C785" s="174"/>
      <c r="D785" s="178" t="s">
        <v>223</v>
      </c>
      <c r="E785" s="194"/>
      <c r="F785" s="174"/>
      <c r="G785" s="291">
        <f>SUM(G772:G784)</f>
        <v>35743.110800000002</v>
      </c>
      <c r="H785" s="276"/>
    </row>
    <row r="786" spans="1:8" ht="18">
      <c r="A786" s="168"/>
      <c r="B786" s="177"/>
      <c r="C786" s="174"/>
      <c r="D786" s="286" t="s">
        <v>222</v>
      </c>
      <c r="E786" s="194"/>
      <c r="F786" s="174"/>
      <c r="G786" s="267">
        <f>ROUNDUP((G785/10),1)</f>
        <v>3574.4</v>
      </c>
    </row>
    <row r="787" spans="1:8" ht="18">
      <c r="A787" s="168"/>
      <c r="B787" s="177"/>
      <c r="C787" s="174"/>
      <c r="D787" s="178"/>
      <c r="E787" s="194"/>
      <c r="F787" s="174"/>
      <c r="G787" s="291"/>
    </row>
    <row r="788" spans="1:8" ht="306">
      <c r="A788" s="168">
        <f>A770+1</f>
        <v>36</v>
      </c>
      <c r="B788" s="169"/>
      <c r="C788" s="170"/>
      <c r="D788" s="277" t="str">
        <f>'BOQ-C&amp;I'!C160</f>
        <v xml:space="preserve">Supply and Laying with best quality approved Kotah stone slab  not  less than  20 mm thick and the  size of slab in general not less than 1200 x 600 mm machine cut and machine high pre-polished, set in C.M 1:4 (1 of cement : 4 of  M.sand ), 20 mm thick topped with white cement slurry (for surface contact of the bottom of the Kotah slab) as per approved pattern/design as per drawing  by using irrespective of  size and shape, including finishing the joints with white cement slurry, cutting, edge chamfering and polishing rough, medium, nice and acid wash  and tin-oxide polish. Rate shall include wastages, preparation of base surface, cleaning, acid wash over the finished surface, protection with Gypsum / Pop  layer  over  plastic sheet and removing the same before handing over, work at all levels and as complete with all respects complying with relevant standard specification and as directed by the departmental officers. The  Sample should be got approvd. </v>
      </c>
      <c r="E788" s="170"/>
      <c r="F788" s="170"/>
      <c r="G788" s="195"/>
    </row>
    <row r="789" spans="1:8" ht="18">
      <c r="A789" s="168"/>
      <c r="B789" s="169"/>
      <c r="C789" s="170"/>
      <c r="D789" s="286" t="s">
        <v>238</v>
      </c>
      <c r="E789" s="172"/>
      <c r="F789" s="170"/>
      <c r="G789" s="195"/>
    </row>
    <row r="790" spans="1:8" ht="18">
      <c r="A790" s="168"/>
      <c r="B790" s="169">
        <v>10.5</v>
      </c>
      <c r="C790" s="170" t="s">
        <v>237</v>
      </c>
      <c r="D790" s="277" t="s">
        <v>240</v>
      </c>
      <c r="E790" s="172">
        <f>Material!D30</f>
        <v>484</v>
      </c>
      <c r="F790" s="168" t="s">
        <v>235</v>
      </c>
      <c r="G790" s="195">
        <f t="shared" ref="G790:G799" si="20">B790*E790</f>
        <v>5082</v>
      </c>
    </row>
    <row r="791" spans="1:8" ht="20.25">
      <c r="A791" s="168"/>
      <c r="B791" s="169">
        <v>0.22</v>
      </c>
      <c r="C791" s="170" t="s">
        <v>1616</v>
      </c>
      <c r="D791" s="277" t="s">
        <v>234</v>
      </c>
      <c r="E791" s="172">
        <f>G33</f>
        <v>3730.48</v>
      </c>
      <c r="F791" s="168" t="s">
        <v>1616</v>
      </c>
      <c r="G791" s="195">
        <f t="shared" si="20"/>
        <v>820.7056</v>
      </c>
    </row>
    <row r="792" spans="1:8" ht="18">
      <c r="A792" s="168"/>
      <c r="B792" s="169">
        <v>0.06</v>
      </c>
      <c r="C792" s="170" t="s">
        <v>131</v>
      </c>
      <c r="D792" s="277" t="s">
        <v>233</v>
      </c>
      <c r="E792" s="172">
        <f>'Lead Statement'!I13</f>
        <v>6040</v>
      </c>
      <c r="F792" s="168" t="s">
        <v>131</v>
      </c>
      <c r="G792" s="195">
        <f t="shared" si="20"/>
        <v>362.4</v>
      </c>
    </row>
    <row r="793" spans="1:8" ht="18">
      <c r="A793" s="168"/>
      <c r="B793" s="169">
        <v>4.5</v>
      </c>
      <c r="C793" s="170" t="s">
        <v>162</v>
      </c>
      <c r="D793" s="178" t="s">
        <v>239</v>
      </c>
      <c r="E793" s="172">
        <f>Material!D24</f>
        <v>27.25</v>
      </c>
      <c r="F793" s="168" t="s">
        <v>162</v>
      </c>
      <c r="G793" s="195">
        <f t="shared" si="20"/>
        <v>122.625</v>
      </c>
    </row>
    <row r="794" spans="1:8" ht="18">
      <c r="A794" s="168"/>
      <c r="B794" s="169"/>
      <c r="C794" s="170"/>
      <c r="D794" s="277" t="s">
        <v>221</v>
      </c>
      <c r="E794" s="172"/>
      <c r="F794" s="168"/>
      <c r="G794" s="195"/>
    </row>
    <row r="795" spans="1:8" ht="18">
      <c r="A795" s="168"/>
      <c r="B795" s="169">
        <v>5.4</v>
      </c>
      <c r="C795" s="170" t="s">
        <v>51</v>
      </c>
      <c r="D795" s="277" t="s">
        <v>231</v>
      </c>
      <c r="E795" s="172">
        <f>Labour!E5</f>
        <v>884</v>
      </c>
      <c r="F795" s="168" t="s">
        <v>202</v>
      </c>
      <c r="G795" s="195">
        <f t="shared" si="20"/>
        <v>4773.6000000000004</v>
      </c>
    </row>
    <row r="796" spans="1:8" ht="18">
      <c r="A796" s="168"/>
      <c r="B796" s="169">
        <v>6.5</v>
      </c>
      <c r="C796" s="170" t="s">
        <v>51</v>
      </c>
      <c r="D796" s="277" t="s">
        <v>230</v>
      </c>
      <c r="E796" s="172">
        <f>Labour!E6</f>
        <v>618</v>
      </c>
      <c r="F796" s="168" t="s">
        <v>202</v>
      </c>
      <c r="G796" s="195">
        <f t="shared" si="20"/>
        <v>4017</v>
      </c>
    </row>
    <row r="797" spans="1:8" ht="18">
      <c r="A797" s="168"/>
      <c r="B797" s="169">
        <v>2.16</v>
      </c>
      <c r="C797" s="170" t="s">
        <v>51</v>
      </c>
      <c r="D797" s="277" t="s">
        <v>229</v>
      </c>
      <c r="E797" s="172">
        <f>Labour!E7</f>
        <v>507</v>
      </c>
      <c r="F797" s="168" t="s">
        <v>202</v>
      </c>
      <c r="G797" s="195">
        <f t="shared" si="20"/>
        <v>1095.1200000000001</v>
      </c>
    </row>
    <row r="798" spans="1:8" ht="18">
      <c r="A798" s="168"/>
      <c r="B798" s="169"/>
      <c r="C798" s="170"/>
      <c r="D798" s="277" t="s">
        <v>228</v>
      </c>
      <c r="E798" s="172"/>
      <c r="F798" s="168"/>
      <c r="G798" s="195"/>
    </row>
    <row r="799" spans="1:8" ht="18">
      <c r="A799" s="168"/>
      <c r="B799" s="169">
        <v>10.8</v>
      </c>
      <c r="C799" s="170" t="s">
        <v>227</v>
      </c>
      <c r="D799" s="277" t="s">
        <v>226</v>
      </c>
      <c r="E799" s="172">
        <f>Labour!E6</f>
        <v>618</v>
      </c>
      <c r="F799" s="168" t="s">
        <v>202</v>
      </c>
      <c r="G799" s="195">
        <f t="shared" si="20"/>
        <v>6674.4000000000005</v>
      </c>
    </row>
    <row r="800" spans="1:8" ht="18">
      <c r="A800" s="168"/>
      <c r="B800" s="169"/>
      <c r="C800" s="170"/>
      <c r="D800" s="277" t="s">
        <v>154</v>
      </c>
      <c r="E800" s="172"/>
      <c r="F800" s="168"/>
      <c r="G800" s="195">
        <v>2.14</v>
      </c>
    </row>
    <row r="801" spans="1:7" ht="18">
      <c r="A801" s="168"/>
      <c r="B801" s="169"/>
      <c r="C801" s="170"/>
      <c r="D801" s="277" t="s">
        <v>187</v>
      </c>
      <c r="E801" s="170"/>
      <c r="F801" s="170"/>
      <c r="G801" s="171">
        <f>SUM(G790:G800)</f>
        <v>22949.990600000001</v>
      </c>
    </row>
    <row r="802" spans="1:7" ht="18">
      <c r="A802" s="168"/>
      <c r="B802" s="169"/>
      <c r="C802" s="170"/>
      <c r="D802" s="277" t="s">
        <v>152</v>
      </c>
      <c r="E802" s="170"/>
      <c r="F802" s="170"/>
      <c r="G802" s="267">
        <f>ROUNDUP((G801/10),0)</f>
        <v>2295</v>
      </c>
    </row>
    <row r="803" spans="1:7" ht="18">
      <c r="A803" s="168"/>
      <c r="B803" s="169"/>
      <c r="C803" s="170"/>
      <c r="D803" s="277"/>
      <c r="E803" s="170"/>
      <c r="F803" s="170"/>
      <c r="G803" s="195"/>
    </row>
    <row r="804" spans="1:7" ht="324">
      <c r="A804" s="168">
        <f>A788+1</f>
        <v>37</v>
      </c>
      <c r="B804" s="169"/>
      <c r="C804" s="170"/>
      <c r="D804" s="277" t="str">
        <f>'BOQ-C&amp;I'!C161</f>
        <v xml:space="preserve">Supply and Laying with best quality approved Kotah stone slab  not  less than  20 mm thick in a single piece for each step for the entire width of the stair machine cut and machine high pre-polished, set in C.M 1:4 (1 of cement : 4 of M.sand), 20 mm thick topped with white cement slurry (for surface contact of the bottom of the Kotah slab) as per approved drawing  including finishing the joints with white cement slurry, cutting, edge chamfering and polishing rough, medium, nice and acid wash  and tin-oxide polish. Rate  shall  include for preparation of base surface &amp; finished the surface, protection with gypsum/pop layer over plastic sheet and removing the same before handing over, work at all levels. For Raiser and Treads instead of floor including edge moulding anti skid &amp; grooves with polishing and non slippery stripes etc and as complete with all respects complying with relevant standard specification as directed by the departmental officers. The  Sample should be got approvd. </v>
      </c>
      <c r="E804" s="172"/>
      <c r="F804" s="170"/>
      <c r="G804" s="195"/>
    </row>
    <row r="805" spans="1:7" ht="18">
      <c r="A805" s="168"/>
      <c r="B805" s="169"/>
      <c r="C805" s="170"/>
      <c r="D805" s="286" t="s">
        <v>238</v>
      </c>
      <c r="E805" s="172"/>
      <c r="F805" s="170"/>
      <c r="G805" s="195"/>
    </row>
    <row r="806" spans="1:7" ht="36">
      <c r="A806" s="168"/>
      <c r="B806" s="169">
        <v>10.5</v>
      </c>
      <c r="C806" s="170" t="s">
        <v>237</v>
      </c>
      <c r="D806" s="277" t="s">
        <v>236</v>
      </c>
      <c r="E806" s="172">
        <f>Material!D39</f>
        <v>550</v>
      </c>
      <c r="F806" s="168" t="s">
        <v>235</v>
      </c>
      <c r="G806" s="195">
        <f t="shared" ref="G806:G815" si="21">B806*E806</f>
        <v>5775</v>
      </c>
    </row>
    <row r="807" spans="1:7" ht="20.25">
      <c r="A807" s="168"/>
      <c r="B807" s="169">
        <v>0.22</v>
      </c>
      <c r="C807" s="170" t="s">
        <v>1616</v>
      </c>
      <c r="D807" s="277" t="s">
        <v>234</v>
      </c>
      <c r="E807" s="172">
        <f>G33</f>
        <v>3730.48</v>
      </c>
      <c r="F807" s="168" t="s">
        <v>1616</v>
      </c>
      <c r="G807" s="195">
        <f t="shared" si="21"/>
        <v>820.7056</v>
      </c>
    </row>
    <row r="808" spans="1:7" ht="18">
      <c r="A808" s="168"/>
      <c r="B808" s="169">
        <v>0.06</v>
      </c>
      <c r="C808" s="170" t="s">
        <v>131</v>
      </c>
      <c r="D808" s="277" t="s">
        <v>233</v>
      </c>
      <c r="E808" s="172">
        <f>'Lead Statement'!I13</f>
        <v>6040</v>
      </c>
      <c r="F808" s="168" t="s">
        <v>131</v>
      </c>
      <c r="G808" s="195">
        <f t="shared" si="21"/>
        <v>362.4</v>
      </c>
    </row>
    <row r="809" spans="1:7" ht="18">
      <c r="A809" s="168"/>
      <c r="B809" s="169">
        <v>4.5</v>
      </c>
      <c r="C809" s="170" t="s">
        <v>162</v>
      </c>
      <c r="D809" s="178" t="s">
        <v>232</v>
      </c>
      <c r="E809" s="172">
        <f>Material!D24</f>
        <v>27.25</v>
      </c>
      <c r="F809" s="168" t="s">
        <v>162</v>
      </c>
      <c r="G809" s="195">
        <f t="shared" si="21"/>
        <v>122.625</v>
      </c>
    </row>
    <row r="810" spans="1:7" ht="18">
      <c r="A810" s="168"/>
      <c r="B810" s="169"/>
      <c r="C810" s="170"/>
      <c r="D810" s="277" t="s">
        <v>221</v>
      </c>
      <c r="E810" s="172"/>
      <c r="F810" s="168"/>
      <c r="G810" s="195">
        <f t="shared" si="21"/>
        <v>0</v>
      </c>
    </row>
    <row r="811" spans="1:7" ht="18">
      <c r="A811" s="168"/>
      <c r="B811" s="169">
        <v>5.4</v>
      </c>
      <c r="C811" s="170" t="s">
        <v>51</v>
      </c>
      <c r="D811" s="277" t="s">
        <v>231</v>
      </c>
      <c r="E811" s="172">
        <f>Labour!E5</f>
        <v>884</v>
      </c>
      <c r="F811" s="168" t="s">
        <v>202</v>
      </c>
      <c r="G811" s="195">
        <f t="shared" si="21"/>
        <v>4773.6000000000004</v>
      </c>
    </row>
    <row r="812" spans="1:7" ht="18">
      <c r="A812" s="168"/>
      <c r="B812" s="169">
        <v>6.5</v>
      </c>
      <c r="C812" s="170" t="s">
        <v>51</v>
      </c>
      <c r="D812" s="277" t="s">
        <v>230</v>
      </c>
      <c r="E812" s="172">
        <f>Labour!E6</f>
        <v>618</v>
      </c>
      <c r="F812" s="168" t="s">
        <v>202</v>
      </c>
      <c r="G812" s="195">
        <f t="shared" si="21"/>
        <v>4017</v>
      </c>
    </row>
    <row r="813" spans="1:7" ht="18">
      <c r="A813" s="168"/>
      <c r="B813" s="169">
        <v>2.16</v>
      </c>
      <c r="C813" s="170" t="s">
        <v>51</v>
      </c>
      <c r="D813" s="277" t="s">
        <v>229</v>
      </c>
      <c r="E813" s="172">
        <f>Labour!E7</f>
        <v>507</v>
      </c>
      <c r="F813" s="168" t="s">
        <v>202</v>
      </c>
      <c r="G813" s="195">
        <f t="shared" si="21"/>
        <v>1095.1200000000001</v>
      </c>
    </row>
    <row r="814" spans="1:7" ht="18">
      <c r="A814" s="168"/>
      <c r="B814" s="169"/>
      <c r="C814" s="170"/>
      <c r="D814" s="277" t="s">
        <v>228</v>
      </c>
      <c r="E814" s="172"/>
      <c r="F814" s="168"/>
      <c r="G814" s="195">
        <f t="shared" si="21"/>
        <v>0</v>
      </c>
    </row>
    <row r="815" spans="1:7" ht="18">
      <c r="A815" s="168"/>
      <c r="B815" s="169">
        <v>10.8</v>
      </c>
      <c r="C815" s="170" t="s">
        <v>227</v>
      </c>
      <c r="D815" s="277" t="s">
        <v>226</v>
      </c>
      <c r="E815" s="172">
        <f>Labour!E6</f>
        <v>618</v>
      </c>
      <c r="F815" s="168" t="s">
        <v>202</v>
      </c>
      <c r="G815" s="195">
        <f t="shared" si="21"/>
        <v>6674.4000000000005</v>
      </c>
    </row>
    <row r="816" spans="1:7" ht="18">
      <c r="A816" s="168"/>
      <c r="B816" s="169"/>
      <c r="C816" s="170"/>
      <c r="D816" s="277" t="s">
        <v>154</v>
      </c>
      <c r="E816" s="172"/>
      <c r="F816" s="168"/>
      <c r="G816" s="195">
        <v>0.28000000000000003</v>
      </c>
    </row>
    <row r="817" spans="1:12" ht="18">
      <c r="A817" s="168"/>
      <c r="B817" s="169"/>
      <c r="C817" s="170"/>
      <c r="D817" s="277" t="s">
        <v>187</v>
      </c>
      <c r="E817" s="172"/>
      <c r="F817" s="170"/>
      <c r="G817" s="171">
        <f>SUM(G806:G816)</f>
        <v>23641.1306</v>
      </c>
    </row>
    <row r="818" spans="1:12" ht="18">
      <c r="A818" s="168"/>
      <c r="B818" s="169"/>
      <c r="C818" s="170"/>
      <c r="D818" s="277" t="s">
        <v>152</v>
      </c>
      <c r="E818" s="172"/>
      <c r="F818" s="170"/>
      <c r="G818" s="267">
        <f>ROUNDUP((G817/10),0)</f>
        <v>2365</v>
      </c>
    </row>
    <row r="819" spans="1:12" ht="18">
      <c r="A819" s="168"/>
      <c r="B819" s="169"/>
      <c r="C819" s="170"/>
      <c r="D819" s="277"/>
      <c r="E819" s="172"/>
      <c r="F819" s="170"/>
      <c r="G819" s="195"/>
    </row>
    <row r="820" spans="1:12" ht="216">
      <c r="A820" s="168">
        <f>+A804+1</f>
        <v>38</v>
      </c>
      <c r="B820" s="169"/>
      <c r="C820" s="170"/>
      <c r="D820" s="273" t="str">
        <f>'BOQ-C&amp;I'!C162</f>
        <v xml:space="preserve">Providing flooring with best quality approved make White ceramic tiles ranges, Size of tiles shall be 6mm thick of 300 x 300 mm size set in  CM 1:4, (1 of cement : 4 of M.sand),  20mm thick and  pointing the joints with Laticrete and pointing with Laticrete of approved make and as directed.  Rate shall include for preparation of base surface, and finishing the surface, cleaning the surface, and protecting and with Gypsum / POP layer  over  Plastic sheet and removing the same before handing over, work at  all levels etc. as complete in all respects and complying with relevant standard specifications and as directed .( Over Head Tanks &amp; U.G.Sump). The  Sample should be got approvd. </v>
      </c>
      <c r="E820" s="194"/>
      <c r="F820" s="174"/>
      <c r="G820" s="291"/>
      <c r="J820" s="275">
        <f>1*2.4</f>
        <v>2.4</v>
      </c>
      <c r="K820" s="275">
        <v>3445</v>
      </c>
      <c r="L820" s="275">
        <f>K820/J820</f>
        <v>1435.4166666666667</v>
      </c>
    </row>
    <row r="821" spans="1:12" ht="18">
      <c r="A821" s="168"/>
      <c r="B821" s="177">
        <v>1</v>
      </c>
      <c r="C821" s="174" t="s">
        <v>9</v>
      </c>
      <c r="D821" s="178" t="s">
        <v>1876</v>
      </c>
      <c r="E821" s="192">
        <f>'Comparison - Annexure 04'!K60</f>
        <v>1550</v>
      </c>
      <c r="F821" s="174" t="s">
        <v>9</v>
      </c>
      <c r="G821" s="193">
        <f>E821*B821</f>
        <v>1550</v>
      </c>
    </row>
    <row r="822" spans="1:12" ht="18">
      <c r="A822" s="168"/>
      <c r="B822" s="177"/>
      <c r="C822" s="174"/>
      <c r="D822" s="304"/>
      <c r="E822" s="194"/>
      <c r="F822" s="174"/>
      <c r="G822" s="291"/>
    </row>
    <row r="823" spans="1:12" ht="18">
      <c r="A823" s="168"/>
      <c r="B823" s="177"/>
      <c r="C823" s="174"/>
      <c r="D823" s="353" t="s">
        <v>111</v>
      </c>
      <c r="E823" s="194"/>
      <c r="F823" s="174"/>
      <c r="G823" s="291"/>
    </row>
    <row r="824" spans="1:12" ht="252">
      <c r="A824" s="168">
        <f>A820+1</f>
        <v>39</v>
      </c>
      <c r="B824" s="169"/>
      <c r="C824" s="170"/>
      <c r="D824" s="273" t="str">
        <f>'BOQ-C&amp;I'!C165</f>
        <v xml:space="preserve">Supply and Laying Double charged vitrified skirting 100 mm high of same approved flooring tile set in C.M 1:3 (1 of Cement : 3 of M.sand) 12 mm thick and pointing the joints with white cement compound and matching corner tile beading.   Rate including wastages, chasing of wall for flushing the tile inline with wall surface with necessary grooves, preparation of surface, necessary hacking in RCC surface, cutting of tiles to required shape, edging, curing,  cleaning, acid wash over finished surface, protection with Gypsum / Pop  layer  over  Plastic sheet and removing the same before handing over as complete with all respects complying with relevant standard specification and as directed by the departmental officers. The  Sample should be got approvd. </v>
      </c>
      <c r="E824" s="194"/>
      <c r="F824" s="170"/>
      <c r="G824" s="195"/>
    </row>
    <row r="825" spans="1:12" ht="18">
      <c r="A825" s="294"/>
      <c r="B825" s="169"/>
      <c r="C825" s="168"/>
      <c r="D825" s="295" t="s">
        <v>219</v>
      </c>
      <c r="E825" s="168"/>
      <c r="F825" s="168"/>
      <c r="G825" s="195"/>
    </row>
    <row r="826" spans="1:12" ht="18">
      <c r="A826" s="294"/>
      <c r="B826" s="169">
        <f>15*0.1</f>
        <v>1.5</v>
      </c>
      <c r="C826" s="168" t="s">
        <v>177</v>
      </c>
      <c r="D826" s="296" t="s">
        <v>1495</v>
      </c>
      <c r="E826" s="172">
        <f>Material!D25</f>
        <v>982</v>
      </c>
      <c r="F826" s="168" t="s">
        <v>9</v>
      </c>
      <c r="G826" s="195">
        <f>B826*E826</f>
        <v>1473</v>
      </c>
    </row>
    <row r="827" spans="1:12" ht="18">
      <c r="A827" s="294"/>
      <c r="B827" s="169">
        <v>0.14000000000000001</v>
      </c>
      <c r="C827" s="168" t="s">
        <v>1278</v>
      </c>
      <c r="D827" s="296" t="s">
        <v>1496</v>
      </c>
      <c r="E827" s="172">
        <f>G27</f>
        <v>4455.28</v>
      </c>
      <c r="F827" s="174" t="s">
        <v>155</v>
      </c>
      <c r="G827" s="195">
        <f>B827*E827</f>
        <v>623.73919999999998</v>
      </c>
    </row>
    <row r="828" spans="1:12" ht="18">
      <c r="A828" s="294"/>
      <c r="B828" s="169">
        <v>3</v>
      </c>
      <c r="C828" s="168" t="s">
        <v>209</v>
      </c>
      <c r="D828" s="296" t="s">
        <v>1497</v>
      </c>
      <c r="E828" s="172">
        <f>Material!D24</f>
        <v>27.25</v>
      </c>
      <c r="F828" s="174" t="s">
        <v>162</v>
      </c>
      <c r="G828" s="195">
        <f>B828*E828</f>
        <v>81.75</v>
      </c>
    </row>
    <row r="829" spans="1:12" ht="18">
      <c r="A829" s="294"/>
      <c r="B829" s="169"/>
      <c r="C829" s="168"/>
      <c r="D829" s="296" t="s">
        <v>1328</v>
      </c>
      <c r="E829" s="172"/>
      <c r="F829" s="168"/>
      <c r="G829" s="195"/>
    </row>
    <row r="830" spans="1:12" ht="18">
      <c r="A830" s="294"/>
      <c r="B830" s="169"/>
      <c r="C830" s="168"/>
      <c r="D830" s="296" t="s">
        <v>221</v>
      </c>
      <c r="E830" s="172"/>
      <c r="F830" s="168"/>
      <c r="G830" s="195"/>
    </row>
    <row r="831" spans="1:12" ht="18">
      <c r="A831" s="294"/>
      <c r="B831" s="169">
        <v>2</v>
      </c>
      <c r="C831" s="168" t="s">
        <v>51</v>
      </c>
      <c r="D831" s="296" t="s">
        <v>215</v>
      </c>
      <c r="E831" s="172">
        <f>Labour!E4</f>
        <v>947</v>
      </c>
      <c r="F831" s="168" t="s">
        <v>202</v>
      </c>
      <c r="G831" s="195">
        <f>B831*E831</f>
        <v>1894</v>
      </c>
    </row>
    <row r="832" spans="1:12" ht="18">
      <c r="A832" s="294"/>
      <c r="B832" s="169">
        <v>1</v>
      </c>
      <c r="C832" s="168" t="s">
        <v>51</v>
      </c>
      <c r="D832" s="296" t="s">
        <v>151</v>
      </c>
      <c r="E832" s="172">
        <f>Labour!E6</f>
        <v>618</v>
      </c>
      <c r="F832" s="168" t="s">
        <v>202</v>
      </c>
      <c r="G832" s="195">
        <f>B832*E832</f>
        <v>618</v>
      </c>
    </row>
    <row r="833" spans="1:7" ht="18">
      <c r="A833" s="294"/>
      <c r="B833" s="169">
        <v>2</v>
      </c>
      <c r="C833" s="168" t="s">
        <v>51</v>
      </c>
      <c r="D833" s="296" t="s">
        <v>150</v>
      </c>
      <c r="E833" s="172">
        <f>Labour!E7</f>
        <v>507</v>
      </c>
      <c r="F833" s="168" t="s">
        <v>202</v>
      </c>
      <c r="G833" s="195">
        <f>B833*E833</f>
        <v>1014</v>
      </c>
    </row>
    <row r="834" spans="1:7" ht="18">
      <c r="A834" s="294"/>
      <c r="B834" s="169"/>
      <c r="C834" s="168"/>
      <c r="D834" s="296" t="s">
        <v>154</v>
      </c>
      <c r="E834" s="169"/>
      <c r="F834" s="168"/>
      <c r="G834" s="195">
        <v>5.43</v>
      </c>
    </row>
    <row r="835" spans="1:7" ht="18">
      <c r="A835" s="294"/>
      <c r="B835" s="169"/>
      <c r="C835" s="168"/>
      <c r="D835" s="295" t="s">
        <v>214</v>
      </c>
      <c r="E835" s="168"/>
      <c r="F835" s="168"/>
      <c r="G835" s="195">
        <f>SUM(G826:G834)</f>
        <v>5709.9192000000003</v>
      </c>
    </row>
    <row r="836" spans="1:7" ht="18">
      <c r="A836" s="294"/>
      <c r="B836" s="169"/>
      <c r="C836" s="168"/>
      <c r="D836" s="295" t="s">
        <v>1498</v>
      </c>
      <c r="E836" s="168"/>
      <c r="F836" s="168"/>
      <c r="G836" s="171">
        <f>ROUNDUP((G835/15),1)</f>
        <v>380.70000000000005</v>
      </c>
    </row>
    <row r="837" spans="1:7" ht="18">
      <c r="A837" s="294"/>
      <c r="B837" s="169"/>
      <c r="C837" s="168"/>
      <c r="D837" s="295"/>
      <c r="E837" s="168"/>
      <c r="F837" s="168"/>
      <c r="G837" s="171"/>
    </row>
    <row r="838" spans="1:7" ht="288">
      <c r="A838" s="168">
        <f>A824+1</f>
        <v>40</v>
      </c>
      <c r="B838" s="169"/>
      <c r="C838" s="170"/>
      <c r="D838" s="351" t="str">
        <f>'BOQ-C&amp;I'!C166</f>
        <v>Supply and Laying 100 mm high skirting with best quality approved Kotah slab of thickness not less than 20 mm, machine cut and machine high pre-polished set in set in cement mortar 1:3(1 of Cement : 3 of M.sand) 12 mm thick . Rate  shall include for preparation of surface,  with tin-oxide / high gloss factory polish. Rate including wastages, filleting/ chamfering of the edges along with partial recessing of the skirting into masonry / gypsum wall, including chasing of wall with necessary grooves, preparation of surface, necessary hacking in RCC surface, cutting of tiles to required shape, edging, curing, cleaning, acid wash over finished surface, protection with Gypsum / Pop  layer  over  Plastic sheet and removing the same before handing over as complete with all respects complying with relevant standard specification and as directed by the departmental officers.</v>
      </c>
      <c r="E838" s="174"/>
      <c r="F838" s="170"/>
      <c r="G838" s="195"/>
    </row>
    <row r="839" spans="1:7" ht="18">
      <c r="A839" s="168"/>
      <c r="B839" s="169"/>
      <c r="C839" s="168"/>
      <c r="D839" s="304" t="s">
        <v>219</v>
      </c>
      <c r="E839" s="172"/>
      <c r="F839" s="169"/>
      <c r="G839" s="195"/>
    </row>
    <row r="840" spans="1:7" ht="18">
      <c r="A840" s="168"/>
      <c r="B840" s="169">
        <f>15*0.1</f>
        <v>1.5</v>
      </c>
      <c r="C840" s="168" t="s">
        <v>9</v>
      </c>
      <c r="D840" s="273" t="s">
        <v>220</v>
      </c>
      <c r="E840" s="192">
        <f>Material!D30</f>
        <v>484</v>
      </c>
      <c r="F840" s="168" t="s">
        <v>9</v>
      </c>
      <c r="G840" s="195">
        <f>B840*E840</f>
        <v>726</v>
      </c>
    </row>
    <row r="841" spans="1:7" ht="18">
      <c r="A841" s="168"/>
      <c r="B841" s="177">
        <v>0.14000000000000001</v>
      </c>
      <c r="C841" s="174" t="s">
        <v>218</v>
      </c>
      <c r="D841" s="178" t="s">
        <v>210</v>
      </c>
      <c r="E841" s="192">
        <f>G27</f>
        <v>4455.28</v>
      </c>
      <c r="F841" s="174" t="s">
        <v>155</v>
      </c>
      <c r="G841" s="195">
        <f>B841*E841</f>
        <v>623.73919999999998</v>
      </c>
    </row>
    <row r="842" spans="1:7" ht="18">
      <c r="A842" s="168"/>
      <c r="B842" s="177">
        <v>3</v>
      </c>
      <c r="C842" s="174" t="s">
        <v>209</v>
      </c>
      <c r="D842" s="178" t="s">
        <v>217</v>
      </c>
      <c r="E842" s="192">
        <f>Material!D23</f>
        <v>22.6</v>
      </c>
      <c r="F842" s="174" t="s">
        <v>162</v>
      </c>
      <c r="G842" s="195">
        <f>B842*E842</f>
        <v>67.800000000000011</v>
      </c>
    </row>
    <row r="843" spans="1:7" ht="18">
      <c r="A843" s="168"/>
      <c r="B843" s="169"/>
      <c r="C843" s="168"/>
      <c r="D843" s="304" t="s">
        <v>216</v>
      </c>
      <c r="E843" s="172"/>
      <c r="F843" s="168"/>
      <c r="G843" s="195"/>
    </row>
    <row r="844" spans="1:7" ht="18">
      <c r="A844" s="168"/>
      <c r="B844" s="169">
        <v>2</v>
      </c>
      <c r="C844" s="168" t="s">
        <v>66</v>
      </c>
      <c r="D844" s="273" t="s">
        <v>215</v>
      </c>
      <c r="E844" s="172">
        <f>Labour!E4</f>
        <v>947</v>
      </c>
      <c r="F844" s="168" t="s">
        <v>202</v>
      </c>
      <c r="G844" s="195">
        <f>B844*E844</f>
        <v>1894</v>
      </c>
    </row>
    <row r="845" spans="1:7" ht="18">
      <c r="A845" s="168"/>
      <c r="B845" s="169">
        <v>1</v>
      </c>
      <c r="C845" s="168" t="s">
        <v>66</v>
      </c>
      <c r="D845" s="273" t="s">
        <v>151</v>
      </c>
      <c r="E845" s="172">
        <f>Labour!E6</f>
        <v>618</v>
      </c>
      <c r="F845" s="168" t="s">
        <v>202</v>
      </c>
      <c r="G845" s="195">
        <f>B845*E845</f>
        <v>618</v>
      </c>
    </row>
    <row r="846" spans="1:7" ht="18">
      <c r="A846" s="168"/>
      <c r="B846" s="169">
        <v>2</v>
      </c>
      <c r="C846" s="168" t="s">
        <v>66</v>
      </c>
      <c r="D846" s="273" t="s">
        <v>150</v>
      </c>
      <c r="E846" s="172">
        <f>Labour!E7</f>
        <v>507</v>
      </c>
      <c r="F846" s="168" t="s">
        <v>202</v>
      </c>
      <c r="G846" s="195">
        <f>B846*E846</f>
        <v>1014</v>
      </c>
    </row>
    <row r="847" spans="1:7" ht="18">
      <c r="A847" s="168"/>
      <c r="B847" s="169"/>
      <c r="C847" s="168"/>
      <c r="D847" s="273" t="s">
        <v>154</v>
      </c>
      <c r="E847" s="172"/>
      <c r="F847" s="168"/>
      <c r="G847" s="195">
        <v>9.23</v>
      </c>
    </row>
    <row r="848" spans="1:7" ht="18">
      <c r="A848" s="168"/>
      <c r="B848" s="169"/>
      <c r="C848" s="168"/>
      <c r="D848" s="304" t="s">
        <v>214</v>
      </c>
      <c r="E848" s="172"/>
      <c r="F848" s="168"/>
      <c r="G848" s="195">
        <f>SUM(G840:G847)</f>
        <v>4952.7691999999997</v>
      </c>
    </row>
    <row r="849" spans="1:7" ht="18">
      <c r="A849" s="168"/>
      <c r="B849" s="169"/>
      <c r="C849" s="168"/>
      <c r="D849" s="304" t="s">
        <v>213</v>
      </c>
      <c r="E849" s="379"/>
      <c r="F849" s="393"/>
      <c r="G849" s="171">
        <f>ROUNDUP((G848/15),0)</f>
        <v>331</v>
      </c>
    </row>
    <row r="850" spans="1:7" ht="18">
      <c r="A850" s="168"/>
      <c r="B850" s="169"/>
      <c r="C850" s="170"/>
      <c r="D850" s="277"/>
      <c r="E850" s="194"/>
      <c r="F850" s="170"/>
      <c r="G850" s="195"/>
    </row>
    <row r="851" spans="1:7" ht="126">
      <c r="A851" s="168">
        <f>+A838+1</f>
        <v>41</v>
      </c>
      <c r="B851" s="169"/>
      <c r="C851" s="170"/>
      <c r="D851" s="277" t="str">
        <f>'BOQ-C&amp;I'!C167</f>
        <v>Providing and fixing of 75mm height Anodized Aluminum Skirting over partition, columns and walls with all accessories. The screws anchored should be recessed and covered with gaskets. Rate should include Covers at corners &amp; ends, screws, wall chipping, plastering, punning., complete at all levels and heights and as directed by Engineer-in- Charge.</v>
      </c>
      <c r="E851" s="194"/>
      <c r="F851" s="170"/>
      <c r="G851" s="195"/>
    </row>
    <row r="852" spans="1:7" ht="18">
      <c r="A852" s="168"/>
      <c r="B852" s="169">
        <v>1</v>
      </c>
      <c r="C852" s="170" t="s">
        <v>33</v>
      </c>
      <c r="D852" s="178" t="s">
        <v>1876</v>
      </c>
      <c r="E852" s="172">
        <f>'Comparison - Annexure 04'!K68</f>
        <v>400</v>
      </c>
      <c r="F852" s="170" t="s">
        <v>33</v>
      </c>
      <c r="G852" s="195">
        <f>E852*B852</f>
        <v>400</v>
      </c>
    </row>
    <row r="853" spans="1:7" ht="18">
      <c r="A853" s="168"/>
      <c r="B853" s="169"/>
      <c r="C853" s="170"/>
      <c r="D853" s="277"/>
      <c r="E853" s="194"/>
      <c r="F853" s="170"/>
      <c r="G853" s="195"/>
    </row>
    <row r="854" spans="1:7" ht="18">
      <c r="A854" s="168"/>
      <c r="B854" s="169"/>
      <c r="C854" s="170"/>
      <c r="D854" s="277"/>
      <c r="E854" s="194"/>
      <c r="F854" s="170"/>
      <c r="G854" s="195"/>
    </row>
    <row r="855" spans="1:7" ht="144">
      <c r="A855" s="168">
        <f>+A851+1</f>
        <v>42</v>
      </c>
      <c r="B855" s="169"/>
      <c r="C855" s="170"/>
      <c r="D855" s="351" t="str">
        <f>'BOQ-C&amp;I'!C168</f>
        <v xml:space="preserve">Providing 100 mm high skirting with best quality approved granite slab of thickness not less than 18 mm, machine cut and leather finish set in cement mortar at all levels and all as per drawing. Rate  shall include for preparation of surface,  with tin-oxide / high gloss factory polish. Rate also to include filleting/ chamfering of the edges along with partial recessing of the skirting into masonry / gypsum wall. Sample should be got approvd. </v>
      </c>
      <c r="E855" s="174"/>
      <c r="F855" s="170"/>
      <c r="G855" s="195"/>
    </row>
    <row r="856" spans="1:7" ht="18">
      <c r="A856" s="168"/>
      <c r="B856" s="169"/>
      <c r="C856" s="168"/>
      <c r="D856" s="304" t="s">
        <v>219</v>
      </c>
      <c r="E856" s="172"/>
      <c r="F856" s="169"/>
      <c r="G856" s="195"/>
    </row>
    <row r="857" spans="1:7" ht="18">
      <c r="A857" s="168"/>
      <c r="B857" s="169">
        <f>15*0.1</f>
        <v>1.5</v>
      </c>
      <c r="C857" s="168" t="s">
        <v>9</v>
      </c>
      <c r="D857" s="273" t="s">
        <v>725</v>
      </c>
      <c r="E857" s="192">
        <f>Material!D28</f>
        <v>1626</v>
      </c>
      <c r="F857" s="168" t="s">
        <v>9</v>
      </c>
      <c r="G857" s="195">
        <f>B857*E857</f>
        <v>2439</v>
      </c>
    </row>
    <row r="858" spans="1:7" ht="18">
      <c r="A858" s="168"/>
      <c r="B858" s="177">
        <v>0.14000000000000001</v>
      </c>
      <c r="C858" s="174" t="s">
        <v>218</v>
      </c>
      <c r="D858" s="178" t="s">
        <v>210</v>
      </c>
      <c r="E858" s="192">
        <f>G27</f>
        <v>4455.28</v>
      </c>
      <c r="F858" s="174" t="s">
        <v>155</v>
      </c>
      <c r="G858" s="195">
        <f>B858*E858</f>
        <v>623.73919999999998</v>
      </c>
    </row>
    <row r="859" spans="1:7" ht="18">
      <c r="A859" s="168"/>
      <c r="B859" s="177">
        <v>3</v>
      </c>
      <c r="C859" s="174" t="s">
        <v>209</v>
      </c>
      <c r="D859" s="178" t="s">
        <v>217</v>
      </c>
      <c r="E859" s="192">
        <f>Material!D23</f>
        <v>22.6</v>
      </c>
      <c r="F859" s="174" t="s">
        <v>162</v>
      </c>
      <c r="G859" s="195">
        <f>B859*E859</f>
        <v>67.800000000000011</v>
      </c>
    </row>
    <row r="860" spans="1:7" ht="18">
      <c r="A860" s="168"/>
      <c r="B860" s="169"/>
      <c r="C860" s="168"/>
      <c r="D860" s="304" t="s">
        <v>216</v>
      </c>
      <c r="E860" s="172"/>
      <c r="F860" s="168"/>
      <c r="G860" s="195"/>
    </row>
    <row r="861" spans="1:7" ht="18">
      <c r="A861" s="168"/>
      <c r="B861" s="169">
        <v>2</v>
      </c>
      <c r="C861" s="168" t="s">
        <v>66</v>
      </c>
      <c r="D861" s="273" t="s">
        <v>215</v>
      </c>
      <c r="E861" s="172">
        <f>Labour!E4</f>
        <v>947</v>
      </c>
      <c r="F861" s="168" t="s">
        <v>202</v>
      </c>
      <c r="G861" s="195">
        <f>B861*E861</f>
        <v>1894</v>
      </c>
    </row>
    <row r="862" spans="1:7" ht="18">
      <c r="A862" s="168"/>
      <c r="B862" s="169">
        <v>1</v>
      </c>
      <c r="C862" s="168" t="s">
        <v>66</v>
      </c>
      <c r="D862" s="273" t="s">
        <v>151</v>
      </c>
      <c r="E862" s="172">
        <f>Labour!E6</f>
        <v>618</v>
      </c>
      <c r="F862" s="168" t="s">
        <v>202</v>
      </c>
      <c r="G862" s="195">
        <f>B862*E862</f>
        <v>618</v>
      </c>
    </row>
    <row r="863" spans="1:7" ht="18">
      <c r="A863" s="168"/>
      <c r="B863" s="169">
        <v>2</v>
      </c>
      <c r="C863" s="168" t="s">
        <v>66</v>
      </c>
      <c r="D863" s="273" t="s">
        <v>150</v>
      </c>
      <c r="E863" s="172">
        <f>Labour!E7</f>
        <v>507</v>
      </c>
      <c r="F863" s="168" t="s">
        <v>202</v>
      </c>
      <c r="G863" s="195">
        <f>B863*E863</f>
        <v>1014</v>
      </c>
    </row>
    <row r="864" spans="1:7" ht="18">
      <c r="A864" s="168"/>
      <c r="B864" s="169"/>
      <c r="C864" s="168"/>
      <c r="D864" s="273" t="s">
        <v>154</v>
      </c>
      <c r="E864" s="172"/>
      <c r="F864" s="168"/>
      <c r="G864" s="195">
        <v>0.12</v>
      </c>
    </row>
    <row r="865" spans="1:7" ht="18">
      <c r="A865" s="168"/>
      <c r="B865" s="169"/>
      <c r="C865" s="168"/>
      <c r="D865" s="273" t="s">
        <v>214</v>
      </c>
      <c r="E865" s="172"/>
      <c r="F865" s="168"/>
      <c r="G865" s="195">
        <f>SUM(G857:G864)</f>
        <v>6656.6592000000001</v>
      </c>
    </row>
    <row r="866" spans="1:7" ht="18">
      <c r="A866" s="168"/>
      <c r="B866" s="169"/>
      <c r="C866" s="168"/>
      <c r="D866" s="304" t="s">
        <v>213</v>
      </c>
      <c r="E866" s="379"/>
      <c r="F866" s="393"/>
      <c r="G866" s="171">
        <f>ROUND(G865/15,0)</f>
        <v>444</v>
      </c>
    </row>
    <row r="867" spans="1:7" ht="18">
      <c r="A867" s="168"/>
      <c r="B867" s="169"/>
      <c r="C867" s="170"/>
      <c r="D867" s="394"/>
      <c r="E867" s="174"/>
      <c r="F867" s="348"/>
      <c r="G867" s="171"/>
    </row>
    <row r="868" spans="1:7" ht="18">
      <c r="A868" s="168"/>
      <c r="B868" s="169"/>
      <c r="C868" s="170"/>
      <c r="D868" s="353" t="s">
        <v>110</v>
      </c>
      <c r="E868" s="194"/>
      <c r="F868" s="170"/>
      <c r="G868" s="195"/>
    </row>
    <row r="869" spans="1:7" ht="288">
      <c r="A869" s="168">
        <f>A855+1</f>
        <v>43</v>
      </c>
      <c r="B869" s="169"/>
      <c r="C869" s="170"/>
      <c r="D869" s="351" t="str">
        <f>'BOQ-C&amp;I'!C171</f>
        <v xml:space="preserve">Supply and Fixing Dadoing with best quality polished vitrified tile of approved make set in C.M 1:3 (1 of Cement : 3 of M.sand) 12 mm thick and pointing the joints with white cement compound and matching corner tile beading.   Rate including all materials, labour charges, wastages, necessary lead and lifts, working at all levels, transportation charges, loading, unloading, chasing of wall for flushing the tile inline with wall surface,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Engineer-in-charge.(Toilets). Sample should be got approvd. </v>
      </c>
      <c r="E869" s="194"/>
      <c r="F869" s="170"/>
      <c r="G869" s="195"/>
    </row>
    <row r="870" spans="1:7" ht="18">
      <c r="A870" s="168"/>
      <c r="B870" s="169">
        <v>1</v>
      </c>
      <c r="C870" s="170" t="s">
        <v>9</v>
      </c>
      <c r="D870" s="178" t="s">
        <v>1876</v>
      </c>
      <c r="E870" s="172">
        <f>'Comparison - Annexure 04'!K63</f>
        <v>1550</v>
      </c>
      <c r="F870" s="170" t="s">
        <v>9</v>
      </c>
      <c r="G870" s="171">
        <f>E870*B870</f>
        <v>1550</v>
      </c>
    </row>
    <row r="871" spans="1:7" ht="18">
      <c r="A871" s="168"/>
      <c r="B871" s="169"/>
      <c r="C871" s="170"/>
      <c r="D871" s="277"/>
      <c r="E871" s="170"/>
      <c r="F871" s="170"/>
      <c r="G871" s="171"/>
    </row>
    <row r="872" spans="1:7" ht="252">
      <c r="A872" s="168">
        <f>A869+1</f>
        <v>44</v>
      </c>
      <c r="B872" s="169"/>
      <c r="C872" s="170"/>
      <c r="D872" s="351" t="str">
        <f>'BOQ-C&amp;I'!C172</f>
        <v>Providing dadoing with machine cut polished best quality approved colour granite slab (Synthetic grey, Parasise colour) of thickness not less than 20mm of size 1200x600 / 900x600 mm, set in C.M 1:3 ( 1 of cement : 3 of M.sand ), thickness not less than 20 mm including pointing with matching colour of Latapoxy SP100 and fixing with stainless steel clamps 6mm dia. and 100 mm long welded with 40 mm and 25 mm long pieces at two ends to right angle, the former with horizontal position to be embedded in brick wall / concrete surface and the later with vertical position to be inserted and caulked in to the holes of the slab, drilled for the purpose, both forming 'T' shape and cement grouted including edge polishing wherever required and forming groove at joints as directed at all levels.</v>
      </c>
      <c r="E872" s="170"/>
      <c r="F872" s="170"/>
      <c r="G872" s="195"/>
    </row>
    <row r="873" spans="1:7" ht="36">
      <c r="A873" s="168"/>
      <c r="B873" s="177">
        <v>10.5</v>
      </c>
      <c r="C873" s="174" t="s">
        <v>9</v>
      </c>
      <c r="D873" s="178" t="s">
        <v>212</v>
      </c>
      <c r="E873" s="192">
        <f>Material!D29</f>
        <v>1462</v>
      </c>
      <c r="F873" s="174" t="s">
        <v>9</v>
      </c>
      <c r="G873" s="291">
        <f>+E873*B873</f>
        <v>15351</v>
      </c>
    </row>
    <row r="874" spans="1:7" ht="18">
      <c r="A874" s="168"/>
      <c r="B874" s="177">
        <v>0.21</v>
      </c>
      <c r="C874" s="174" t="s">
        <v>155</v>
      </c>
      <c r="D874" s="178" t="s">
        <v>210</v>
      </c>
      <c r="E874" s="192">
        <f>G27</f>
        <v>4455.28</v>
      </c>
      <c r="F874" s="174" t="s">
        <v>155</v>
      </c>
      <c r="G874" s="291">
        <f>+E874*B874</f>
        <v>935.60879999999986</v>
      </c>
    </row>
    <row r="875" spans="1:7" ht="18">
      <c r="A875" s="168"/>
      <c r="B875" s="177"/>
      <c r="C875" s="174"/>
      <c r="D875" s="178" t="s">
        <v>208</v>
      </c>
      <c r="E875" s="192"/>
      <c r="F875" s="174"/>
      <c r="G875" s="291"/>
    </row>
    <row r="876" spans="1:7" ht="18">
      <c r="A876" s="168"/>
      <c r="B876" s="177">
        <v>2</v>
      </c>
      <c r="C876" s="174" t="s">
        <v>204</v>
      </c>
      <c r="D876" s="178" t="s">
        <v>207</v>
      </c>
      <c r="E876" s="192">
        <f>Labour!E4</f>
        <v>947</v>
      </c>
      <c r="F876" s="174" t="s">
        <v>165</v>
      </c>
      <c r="G876" s="291">
        <f>+E876*B876</f>
        <v>1894</v>
      </c>
    </row>
    <row r="877" spans="1:7" ht="18">
      <c r="A877" s="168"/>
      <c r="B877" s="177">
        <v>0.5</v>
      </c>
      <c r="C877" s="174" t="s">
        <v>204</v>
      </c>
      <c r="D877" s="178" t="s">
        <v>211</v>
      </c>
      <c r="E877" s="192">
        <f>Labour!E16</f>
        <v>727</v>
      </c>
      <c r="F877" s="174" t="s">
        <v>165</v>
      </c>
      <c r="G877" s="291">
        <f>+E877*B877</f>
        <v>363.5</v>
      </c>
    </row>
    <row r="878" spans="1:7" ht="18">
      <c r="A878" s="168"/>
      <c r="B878" s="177">
        <v>1</v>
      </c>
      <c r="C878" s="174" t="s">
        <v>204</v>
      </c>
      <c r="D878" s="178" t="s">
        <v>205</v>
      </c>
      <c r="E878" s="192">
        <f>Labour!E6</f>
        <v>618</v>
      </c>
      <c r="F878" s="174" t="s">
        <v>165</v>
      </c>
      <c r="G878" s="291">
        <f>+E878*B878</f>
        <v>618</v>
      </c>
    </row>
    <row r="879" spans="1:7" ht="18">
      <c r="A879" s="168"/>
      <c r="B879" s="177">
        <v>2</v>
      </c>
      <c r="C879" s="174" t="s">
        <v>204</v>
      </c>
      <c r="D879" s="178" t="s">
        <v>203</v>
      </c>
      <c r="E879" s="192">
        <f>Labour!E7</f>
        <v>507</v>
      </c>
      <c r="F879" s="174" t="s">
        <v>165</v>
      </c>
      <c r="G879" s="291">
        <f>+E879*B879</f>
        <v>1014</v>
      </c>
    </row>
    <row r="880" spans="1:7" ht="18">
      <c r="A880" s="168"/>
      <c r="B880" s="177"/>
      <c r="C880" s="174"/>
      <c r="D880" s="178" t="s">
        <v>154</v>
      </c>
      <c r="E880" s="192"/>
      <c r="F880" s="174"/>
      <c r="G880" s="291">
        <v>6.9</v>
      </c>
    </row>
    <row r="881" spans="1:7" ht="20.25">
      <c r="A881" s="168"/>
      <c r="B881" s="177"/>
      <c r="C881" s="174"/>
      <c r="D881" s="178" t="s">
        <v>1633</v>
      </c>
      <c r="E881" s="192"/>
      <c r="F881" s="174"/>
      <c r="G881" s="291">
        <f>SUM(G873:G880)</f>
        <v>20183.008800000003</v>
      </c>
    </row>
    <row r="882" spans="1:7" ht="20.25">
      <c r="A882" s="168"/>
      <c r="B882" s="177"/>
      <c r="C882" s="174"/>
      <c r="D882" s="286" t="s">
        <v>1634</v>
      </c>
      <c r="E882" s="349"/>
      <c r="F882" s="329"/>
      <c r="G882" s="171">
        <f>ROUNDUP((G881/10),0)</f>
        <v>2019</v>
      </c>
    </row>
    <row r="883" spans="1:7" ht="18">
      <c r="A883" s="168"/>
      <c r="B883" s="169"/>
      <c r="C883" s="168"/>
      <c r="D883" s="304"/>
      <c r="E883" s="168"/>
      <c r="F883" s="168"/>
      <c r="G883" s="195"/>
    </row>
    <row r="884" spans="1:7" s="390" customFormat="1" ht="324">
      <c r="A884" s="168">
        <f>A872+1</f>
        <v>45</v>
      </c>
      <c r="B884" s="169"/>
      <c r="C884" s="170"/>
      <c r="D884" s="351" t="str">
        <f>'BOQ-C&amp;I'!C174</f>
        <v xml:space="preserve">Supply and fixing wall dado with best quality approved make White Glossy ceramic tiles sizes 300 x 300 mm x 6 mm thick set in  CM 1:3 (1 of Cement : 3 of M.sand) 10mm thick and   pointing with white cement and as directed.  Rate shall include for preparation of base surface, and finishing the surface, cleaning the surface, work at  all levels etc. as complete and as directed by the departmental officers (For Over Head Tanks &amp; U.G.Sump)   Rate including all materials, labour charges, wastages, necessary lead and lifts, working at all levels, transportation charges, loading, unloading, preparation of surface, necessary hacking in RCC surface, cutting of tiles to required shape, edging, tools and plants, fuel, curing,  cleaning, acid wash over finished surface, protection with Gypsum / Pop  layer  removing the same before handing over as complete with all respects complying with relevant standard specification and as directed by the departmental officers. Sample should be got approvd. </v>
      </c>
      <c r="E884" s="172"/>
      <c r="F884" s="170"/>
      <c r="G884" s="291"/>
    </row>
    <row r="885" spans="1:7" s="390" customFormat="1" ht="18">
      <c r="A885" s="168"/>
      <c r="B885" s="169">
        <v>1</v>
      </c>
      <c r="C885" s="170" t="s">
        <v>9</v>
      </c>
      <c r="D885" s="178" t="s">
        <v>1876</v>
      </c>
      <c r="E885" s="172">
        <f>'Comparison - Annexure 04'!K65</f>
        <v>1850</v>
      </c>
      <c r="F885" s="170" t="s">
        <v>9</v>
      </c>
      <c r="G885" s="171">
        <f>E885*B885</f>
        <v>1850</v>
      </c>
    </row>
    <row r="886" spans="1:7" ht="270">
      <c r="A886" s="168">
        <f>A884+1</f>
        <v>46</v>
      </c>
      <c r="B886" s="169"/>
      <c r="C886" s="170"/>
      <c r="D886" s="351" t="str">
        <f>'BOQ-C&amp;I'!C175</f>
        <v xml:space="preserve">Providing Dadoing with best quality Ceramic tile of approved make and size set in cement mortar 1:3 (1 of Cement : 3 of M.sand), pointing the joints with white cement compound and matching corner tile beading. Rate including all materials, labour charges, wastages, necessary lead and lifts, working at all levels, transportation charges, loading, unloading, chasing of wall for flushing the tile inline with wall surface, preparation of surface, necessary hacking in RCC surface, cutting of tiles to required shape, edging, tools and plants, fuel, curing, cleaning, acid wash over finished surface, protection with Gypsum / Pop layer over Plastic sheet and removing the same before handing over as complete with all respects complying with relevant standard specification and as directed by the Engineer-in-charge. (Kitchen &amp; wash ) Sample should be got approvd. </v>
      </c>
      <c r="E886" s="172"/>
      <c r="F886" s="170"/>
      <c r="G886" s="171"/>
    </row>
    <row r="887" spans="1:7" s="390" customFormat="1" ht="18">
      <c r="A887" s="168"/>
      <c r="B887" s="169">
        <v>1</v>
      </c>
      <c r="C887" s="170" t="s">
        <v>9</v>
      </c>
      <c r="D887" s="178" t="s">
        <v>1876</v>
      </c>
      <c r="E887" s="172">
        <f>'Comparison - Annexure 04'!K64</f>
        <v>1550</v>
      </c>
      <c r="F887" s="170" t="s">
        <v>9</v>
      </c>
      <c r="G887" s="171">
        <f>E887*B887</f>
        <v>1550</v>
      </c>
    </row>
    <row r="888" spans="1:7" ht="18">
      <c r="A888" s="168"/>
      <c r="B888" s="169"/>
      <c r="C888" s="170"/>
      <c r="D888" s="277"/>
      <c r="E888" s="170"/>
      <c r="F888" s="170"/>
      <c r="G888" s="171"/>
    </row>
    <row r="889" spans="1:7" ht="18">
      <c r="A889" s="168"/>
      <c r="B889" s="169"/>
      <c r="C889" s="170"/>
      <c r="D889" s="353" t="s">
        <v>201</v>
      </c>
      <c r="E889" s="170"/>
      <c r="F889" s="170"/>
      <c r="G889" s="195"/>
    </row>
    <row r="890" spans="1:7" ht="180">
      <c r="A890" s="168">
        <f>A886+1</f>
        <v>47</v>
      </c>
      <c r="B890" s="169"/>
      <c r="C890" s="170"/>
      <c r="D890" s="351" t="str">
        <f>'BOQ-C&amp;I'!C178</f>
        <v>Plastering of 12 mm thick for Internal walls with cement mortar 1:5 (1 of cement : 5 of P.sand)  according to specifications. Rate shall include for providing GI chicken mesh of nominal thickness at the junctions of masonry and concrete works to a width of 100 to 125mm including tying in position with suitable clamps/screw, necessary hacking in RCC surface, scaffolding, stagging, curing at all levels and elevations etc.as complete with all respects complying with relevant standard specification, as directed by the departmental officers.</v>
      </c>
      <c r="E890" s="172"/>
      <c r="F890" s="170"/>
      <c r="G890" s="195"/>
    </row>
    <row r="891" spans="1:7" ht="18">
      <c r="A891" s="168"/>
      <c r="B891" s="302">
        <v>0.14000000000000001</v>
      </c>
      <c r="C891" s="298" t="s">
        <v>197</v>
      </c>
      <c r="D891" s="299" t="s">
        <v>200</v>
      </c>
      <c r="E891" s="172">
        <f>+G39</f>
        <v>3307.68</v>
      </c>
      <c r="F891" s="298" t="s">
        <v>197</v>
      </c>
      <c r="G891" s="195">
        <f>+E891*B891</f>
        <v>463.0752</v>
      </c>
    </row>
    <row r="892" spans="1:7" ht="18">
      <c r="A892" s="168"/>
      <c r="B892" s="302">
        <v>1.1000000000000001</v>
      </c>
      <c r="C892" s="298" t="s">
        <v>195</v>
      </c>
      <c r="D892" s="299" t="s">
        <v>192</v>
      </c>
      <c r="E892" s="172">
        <f>Labour!E4</f>
        <v>947</v>
      </c>
      <c r="F892" s="298" t="s">
        <v>165</v>
      </c>
      <c r="G892" s="195">
        <f>+E892*B892</f>
        <v>1041.7</v>
      </c>
    </row>
    <row r="893" spans="1:7" ht="18">
      <c r="A893" s="168"/>
      <c r="B893" s="302">
        <v>0.5</v>
      </c>
      <c r="C893" s="298" t="s">
        <v>195</v>
      </c>
      <c r="D893" s="299" t="s">
        <v>170</v>
      </c>
      <c r="E893" s="172">
        <f>Labour!E6</f>
        <v>618</v>
      </c>
      <c r="F893" s="298" t="s">
        <v>165</v>
      </c>
      <c r="G893" s="195">
        <f>+E893*B893</f>
        <v>309</v>
      </c>
    </row>
    <row r="894" spans="1:7" ht="18">
      <c r="A894" s="168"/>
      <c r="B894" s="302">
        <v>1.1000000000000001</v>
      </c>
      <c r="C894" s="298" t="s">
        <v>195</v>
      </c>
      <c r="D894" s="300" t="s">
        <v>169</v>
      </c>
      <c r="E894" s="172">
        <f>Labour!E7</f>
        <v>507</v>
      </c>
      <c r="F894" s="298" t="s">
        <v>165</v>
      </c>
      <c r="G894" s="195">
        <f>+E894*B894</f>
        <v>557.70000000000005</v>
      </c>
    </row>
    <row r="895" spans="1:7" ht="18">
      <c r="A895" s="168"/>
      <c r="B895" s="302"/>
      <c r="C895" s="298"/>
      <c r="D895" s="178" t="s">
        <v>154</v>
      </c>
      <c r="E895" s="172"/>
      <c r="F895" s="298"/>
      <c r="G895" s="195">
        <v>1.04</v>
      </c>
    </row>
    <row r="896" spans="1:7" ht="18">
      <c r="A896" s="168"/>
      <c r="B896" s="302"/>
      <c r="C896" s="298"/>
      <c r="D896" s="299" t="s">
        <v>194</v>
      </c>
      <c r="E896" s="172"/>
      <c r="F896" s="298"/>
      <c r="G896" s="291">
        <f>SUM(G891:G895)</f>
        <v>2372.5151999999998</v>
      </c>
    </row>
    <row r="897" spans="1:7" ht="18">
      <c r="A897" s="168"/>
      <c r="B897" s="302"/>
      <c r="C897" s="298"/>
      <c r="D897" s="395" t="s">
        <v>193</v>
      </c>
      <c r="E897" s="379"/>
      <c r="F897" s="396"/>
      <c r="G897" s="193">
        <f>CEILING(G896/10,1)</f>
        <v>238</v>
      </c>
    </row>
    <row r="898" spans="1:7" ht="18">
      <c r="A898" s="168"/>
      <c r="B898" s="302"/>
      <c r="C898" s="298"/>
      <c r="D898" s="395"/>
      <c r="E898" s="397"/>
      <c r="F898" s="396"/>
      <c r="G898" s="193"/>
    </row>
    <row r="899" spans="1:7" ht="198">
      <c r="A899" s="168">
        <f>A890+1</f>
        <v>48</v>
      </c>
      <c r="B899" s="169"/>
      <c r="C899" s="170"/>
      <c r="D899" s="351" t="str">
        <f>'BOQ-C&amp;I'!C179</f>
        <v>Plastering 15 mm thick for external surfaces with C.M1:5  (1 of cement : 5 of P.sand) including water proofing compound of “CICO No.1 or equivalent“ as per Manufacturer's Specification with sponge finish (washed sand finish) all complete as per specification and as directed.The rate shall include for include for necessary hacking, staging, scaffolding and curing at all levels and elevations and for providing drip bands / moulds / grooves to any size and shape etc.. as complete with all respects complying with relevant standard specification, as directed by the departmental officers.</v>
      </c>
      <c r="E899" s="170"/>
      <c r="F899" s="170"/>
      <c r="G899" s="195"/>
    </row>
    <row r="900" spans="1:7" ht="18">
      <c r="A900" s="168"/>
      <c r="B900" s="302">
        <v>0.17</v>
      </c>
      <c r="C900" s="298" t="s">
        <v>197</v>
      </c>
      <c r="D900" s="299" t="s">
        <v>200</v>
      </c>
      <c r="E900" s="172">
        <f>+E891</f>
        <v>3307.68</v>
      </c>
      <c r="F900" s="298" t="s">
        <v>197</v>
      </c>
      <c r="G900" s="195">
        <f>+E900*B900</f>
        <v>562.30560000000003</v>
      </c>
    </row>
    <row r="901" spans="1:7" ht="18">
      <c r="A901" s="168"/>
      <c r="B901" s="302">
        <f>(B900*288)*2%</f>
        <v>0.97920000000000007</v>
      </c>
      <c r="C901" s="298" t="s">
        <v>162</v>
      </c>
      <c r="D901" s="299" t="s">
        <v>199</v>
      </c>
      <c r="E901" s="172">
        <v>42.7</v>
      </c>
      <c r="F901" s="298" t="s">
        <v>162</v>
      </c>
      <c r="G901" s="195">
        <f>+E901*B901</f>
        <v>41.811840000000004</v>
      </c>
    </row>
    <row r="902" spans="1:7" ht="18">
      <c r="A902" s="168"/>
      <c r="B902" s="302">
        <v>1.51</v>
      </c>
      <c r="C902" s="298" t="s">
        <v>195</v>
      </c>
      <c r="D902" s="299" t="s">
        <v>192</v>
      </c>
      <c r="E902" s="172">
        <f>Labour!E4</f>
        <v>947</v>
      </c>
      <c r="F902" s="298" t="s">
        <v>165</v>
      </c>
      <c r="G902" s="195">
        <f>+E902*B902</f>
        <v>1429.97</v>
      </c>
    </row>
    <row r="903" spans="1:7" ht="18">
      <c r="A903" s="168"/>
      <c r="B903" s="302">
        <v>0.5</v>
      </c>
      <c r="C903" s="298" t="s">
        <v>195</v>
      </c>
      <c r="D903" s="299" t="s">
        <v>170</v>
      </c>
      <c r="E903" s="172">
        <f>Labour!E6</f>
        <v>618</v>
      </c>
      <c r="F903" s="298" t="s">
        <v>165</v>
      </c>
      <c r="G903" s="195">
        <f>+E903*B903</f>
        <v>309</v>
      </c>
    </row>
    <row r="904" spans="1:7" ht="18">
      <c r="A904" s="168"/>
      <c r="B904" s="302">
        <v>1.89</v>
      </c>
      <c r="C904" s="298" t="s">
        <v>195</v>
      </c>
      <c r="D904" s="300" t="s">
        <v>169</v>
      </c>
      <c r="E904" s="172">
        <f>Labour!E7</f>
        <v>507</v>
      </c>
      <c r="F904" s="298" t="s">
        <v>165</v>
      </c>
      <c r="G904" s="195">
        <f>+E904*B904</f>
        <v>958.2299999999999</v>
      </c>
    </row>
    <row r="905" spans="1:7" ht="18">
      <c r="A905" s="168"/>
      <c r="B905" s="302"/>
      <c r="C905" s="298"/>
      <c r="D905" s="300"/>
      <c r="E905" s="302"/>
      <c r="F905" s="298"/>
      <c r="G905" s="195">
        <v>1.45</v>
      </c>
    </row>
    <row r="906" spans="1:7" ht="18">
      <c r="A906" s="168"/>
      <c r="B906" s="302"/>
      <c r="C906" s="298"/>
      <c r="D906" s="299" t="s">
        <v>194</v>
      </c>
      <c r="E906" s="302"/>
      <c r="F906" s="298"/>
      <c r="G906" s="291">
        <f>SUM(G900:G905)</f>
        <v>3302.7674400000001</v>
      </c>
    </row>
    <row r="907" spans="1:7" ht="18">
      <c r="A907" s="168"/>
      <c r="B907" s="302"/>
      <c r="C907" s="298"/>
      <c r="D907" s="395" t="s">
        <v>193</v>
      </c>
      <c r="E907" s="397"/>
      <c r="F907" s="396"/>
      <c r="G907" s="193">
        <f>CEILING(G906/10,1)</f>
        <v>331</v>
      </c>
    </row>
    <row r="908" spans="1:7" ht="18">
      <c r="A908" s="168"/>
      <c r="B908" s="302"/>
      <c r="C908" s="298"/>
      <c r="D908" s="395"/>
      <c r="E908" s="396"/>
      <c r="F908" s="397"/>
      <c r="G908" s="195"/>
    </row>
    <row r="909" spans="1:7" ht="144">
      <c r="A909" s="168">
        <f>A899+1</f>
        <v>49</v>
      </c>
      <c r="B909" s="169"/>
      <c r="C909" s="170"/>
      <c r="D909" s="351" t="str">
        <f>'BOQ-C&amp;I'!C180</f>
        <v xml:space="preserve">Plastering 10 mm thick for ceiling including slabs, beams and column drops and staircase waist slab, sunshade, drops, chajjas, RC walls etc.. with Cement Mortar 1:3 (1 of cement : 3 of P.sand) according to the specification. The rate shall include necessary hacking, staging, scaffolding and curing at all levels etc...as complete with all respects complying with relevant standard specification, as directed by the departmental officers. </v>
      </c>
      <c r="E909" s="170"/>
      <c r="F909" s="170"/>
      <c r="G909" s="195"/>
    </row>
    <row r="910" spans="1:7" ht="18">
      <c r="A910" s="168"/>
      <c r="B910" s="302">
        <v>0.1</v>
      </c>
      <c r="C910" s="298" t="s">
        <v>197</v>
      </c>
      <c r="D910" s="299" t="s">
        <v>198</v>
      </c>
      <c r="E910" s="172">
        <f>+G27</f>
        <v>4455.28</v>
      </c>
      <c r="F910" s="298" t="s">
        <v>197</v>
      </c>
      <c r="G910" s="195">
        <f>+E910*B910</f>
        <v>445.52800000000002</v>
      </c>
    </row>
    <row r="911" spans="1:7" ht="18">
      <c r="A911" s="168"/>
      <c r="B911" s="302">
        <v>1.1000000000000001</v>
      </c>
      <c r="C911" s="298" t="s">
        <v>195</v>
      </c>
      <c r="D911" s="299" t="s">
        <v>192</v>
      </c>
      <c r="E911" s="172">
        <f>Labour!E4</f>
        <v>947</v>
      </c>
      <c r="F911" s="298" t="s">
        <v>165</v>
      </c>
      <c r="G911" s="195">
        <f>+E911*B911</f>
        <v>1041.7</v>
      </c>
    </row>
    <row r="912" spans="1:7" ht="18">
      <c r="A912" s="168"/>
      <c r="B912" s="302">
        <v>1.1000000000000001</v>
      </c>
      <c r="C912" s="298" t="s">
        <v>195</v>
      </c>
      <c r="D912" s="299" t="s">
        <v>170</v>
      </c>
      <c r="E912" s="172">
        <f>Labour!E6</f>
        <v>618</v>
      </c>
      <c r="F912" s="298" t="s">
        <v>165</v>
      </c>
      <c r="G912" s="195">
        <f>+E912*B912</f>
        <v>679.80000000000007</v>
      </c>
    </row>
    <row r="913" spans="1:8" ht="18">
      <c r="A913" s="168"/>
      <c r="B913" s="302">
        <v>1.1000000000000001</v>
      </c>
      <c r="C913" s="298" t="s">
        <v>195</v>
      </c>
      <c r="D913" s="300" t="s">
        <v>169</v>
      </c>
      <c r="E913" s="172">
        <f>Labour!E7</f>
        <v>507</v>
      </c>
      <c r="F913" s="298" t="s">
        <v>165</v>
      </c>
      <c r="G913" s="195">
        <f>+E913*B913</f>
        <v>557.70000000000005</v>
      </c>
    </row>
    <row r="914" spans="1:8" ht="18">
      <c r="A914" s="168"/>
      <c r="B914" s="302"/>
      <c r="C914" s="298"/>
      <c r="D914" s="178" t="s">
        <v>154</v>
      </c>
      <c r="E914" s="302"/>
      <c r="F914" s="298"/>
      <c r="G914" s="195">
        <v>5</v>
      </c>
    </row>
    <row r="915" spans="1:8" ht="18">
      <c r="A915" s="168"/>
      <c r="B915" s="302"/>
      <c r="C915" s="298"/>
      <c r="D915" s="299" t="s">
        <v>194</v>
      </c>
      <c r="E915" s="302"/>
      <c r="F915" s="298"/>
      <c r="G915" s="291">
        <f>SUM(G910:G914)</f>
        <v>2729.7280000000001</v>
      </c>
    </row>
    <row r="916" spans="1:8" ht="18">
      <c r="A916" s="168"/>
      <c r="B916" s="302"/>
      <c r="C916" s="298"/>
      <c r="D916" s="395" t="s">
        <v>193</v>
      </c>
      <c r="E916" s="397"/>
      <c r="F916" s="396"/>
      <c r="G916" s="193">
        <f>ROUND(G915/10,0)</f>
        <v>273</v>
      </c>
    </row>
    <row r="917" spans="1:8" ht="18">
      <c r="A917" s="168"/>
      <c r="B917" s="302"/>
      <c r="C917" s="298"/>
      <c r="D917" s="395"/>
      <c r="E917" s="397"/>
      <c r="F917" s="396"/>
      <c r="G917" s="193"/>
    </row>
    <row r="918" spans="1:8" ht="270">
      <c r="A918" s="168">
        <f>A909+1</f>
        <v>50</v>
      </c>
      <c r="B918" s="169"/>
      <c r="C918" s="170"/>
      <c r="D918" s="351" t="str">
        <f>'BOQ-C&amp;I'!C181</f>
        <v>Providing 12 mm thick water proof plaster in Toilet internal walls and over head tank with CM 1:3 (1 of cement : 3 of P.sand) with water proofing compound of CICO No:1 or equivalent as per manufacturer’s specification and roughening the surface in green condition with wire brush and clearing of loose particles with sponge  brush (washed sand finish). Rate including all materials, labour charges, wastages, necessary lead and lifts, working at all levels, transportation charges, loading, unloading, preparation of surface, necessary hacking in RCC surface, scaffolding, stagging, providing drip bands, moulds to any size and shape as shown in drawings tools and plants, fuel, curing,  cleaning, consumables etc as complete with all respects complying with relevant standard specification and as directed by the departmental officers.</v>
      </c>
      <c r="E918" s="172"/>
      <c r="F918" s="170"/>
      <c r="G918" s="195"/>
    </row>
    <row r="919" spans="1:8" ht="18">
      <c r="A919" s="168"/>
      <c r="B919" s="302">
        <v>0.14000000000000001</v>
      </c>
      <c r="C919" s="298" t="s">
        <v>197</v>
      </c>
      <c r="D919" s="299" t="s">
        <v>198</v>
      </c>
      <c r="E919" s="172">
        <f>+G27</f>
        <v>4455.28</v>
      </c>
      <c r="F919" s="298" t="s">
        <v>197</v>
      </c>
      <c r="G919" s="195">
        <f>+E919*B919</f>
        <v>623.73919999999998</v>
      </c>
    </row>
    <row r="920" spans="1:8" ht="18">
      <c r="A920" s="168"/>
      <c r="B920" s="302">
        <v>2</v>
      </c>
      <c r="C920" s="298" t="s">
        <v>162</v>
      </c>
      <c r="D920" s="299" t="s">
        <v>196</v>
      </c>
      <c r="E920" s="172">
        <f>E901</f>
        <v>42.7</v>
      </c>
      <c r="F920" s="298" t="s">
        <v>162</v>
      </c>
      <c r="G920" s="195">
        <f>+E920*B920</f>
        <v>85.4</v>
      </c>
    </row>
    <row r="921" spans="1:8" ht="18">
      <c r="A921" s="168"/>
      <c r="B921" s="302">
        <v>1.1000000000000001</v>
      </c>
      <c r="C921" s="298" t="s">
        <v>195</v>
      </c>
      <c r="D921" s="299" t="s">
        <v>192</v>
      </c>
      <c r="E921" s="172">
        <f>Labour!E4</f>
        <v>947</v>
      </c>
      <c r="F921" s="298" t="s">
        <v>165</v>
      </c>
      <c r="G921" s="195">
        <f>+E921*B921</f>
        <v>1041.7</v>
      </c>
    </row>
    <row r="922" spans="1:8" ht="18">
      <c r="A922" s="168"/>
      <c r="B922" s="302">
        <v>0.5</v>
      </c>
      <c r="C922" s="298" t="s">
        <v>195</v>
      </c>
      <c r="D922" s="299" t="s">
        <v>170</v>
      </c>
      <c r="E922" s="172">
        <f>Labour!E6</f>
        <v>618</v>
      </c>
      <c r="F922" s="298" t="s">
        <v>165</v>
      </c>
      <c r="G922" s="195">
        <f>+E922*B922</f>
        <v>309</v>
      </c>
    </row>
    <row r="923" spans="1:8" ht="18">
      <c r="A923" s="168"/>
      <c r="B923" s="302">
        <v>1.1000000000000001</v>
      </c>
      <c r="C923" s="298" t="s">
        <v>195</v>
      </c>
      <c r="D923" s="300" t="s">
        <v>169</v>
      </c>
      <c r="E923" s="172">
        <f>Labour!E7</f>
        <v>507</v>
      </c>
      <c r="F923" s="298" t="s">
        <v>165</v>
      </c>
      <c r="G923" s="195">
        <f>+E923*B923</f>
        <v>557.70000000000005</v>
      </c>
    </row>
    <row r="924" spans="1:8" ht="18">
      <c r="A924" s="168"/>
      <c r="B924" s="302"/>
      <c r="C924" s="298"/>
      <c r="D924" s="178" t="s">
        <v>154</v>
      </c>
      <c r="E924" s="172"/>
      <c r="F924" s="298"/>
      <c r="G924" s="195">
        <v>5</v>
      </c>
    </row>
    <row r="925" spans="1:8" ht="18">
      <c r="A925" s="168"/>
      <c r="B925" s="302"/>
      <c r="C925" s="298"/>
      <c r="D925" s="299" t="s">
        <v>194</v>
      </c>
      <c r="E925" s="172"/>
      <c r="F925" s="298"/>
      <c r="G925" s="291">
        <f>SUM(G919:G924)</f>
        <v>2622.5392000000002</v>
      </c>
    </row>
    <row r="926" spans="1:8" ht="18">
      <c r="A926" s="168"/>
      <c r="B926" s="302"/>
      <c r="C926" s="298"/>
      <c r="D926" s="395" t="s">
        <v>193</v>
      </c>
      <c r="E926" s="397"/>
      <c r="F926" s="396"/>
      <c r="G926" s="193">
        <f>CEILING(G925/10,1)</f>
        <v>263</v>
      </c>
    </row>
    <row r="927" spans="1:8" ht="18">
      <c r="A927" s="168"/>
      <c r="B927" s="302"/>
      <c r="C927" s="298"/>
      <c r="D927" s="353" t="s">
        <v>108</v>
      </c>
      <c r="E927" s="396"/>
      <c r="F927" s="397"/>
      <c r="G927" s="195"/>
      <c r="H927" s="276"/>
    </row>
    <row r="928" spans="1:8" ht="162">
      <c r="A928" s="168">
        <f>A918+1</f>
        <v>51</v>
      </c>
      <c r="B928" s="302"/>
      <c r="C928" s="298"/>
      <c r="D928" s="351" t="str">
        <f>'BOQ-C&amp;I'!C184</f>
        <v>Providing and applying three coats of Acrylic emulsion paint, with low VOC as per GS-11, anti fungal and washable of approved colour over a coat of water based primer including preparation of surface by thorough cleaning and applying two coats of premixed putty as per manufacturer’s specification fully to give an even shade before painting and curing as per manufacturers  specifications., Working at all levels and heights and as directed by Engineer- in- Charge.</v>
      </c>
      <c r="E928" s="396"/>
      <c r="F928" s="302"/>
      <c r="G928" s="195"/>
    </row>
    <row r="929" spans="1:8" ht="18">
      <c r="A929" s="168"/>
      <c r="B929" s="302"/>
      <c r="C929" s="298"/>
      <c r="D929" s="300"/>
      <c r="E929" s="396"/>
      <c r="F929" s="397"/>
      <c r="G929" s="195"/>
    </row>
    <row r="930" spans="1:8" ht="18">
      <c r="A930" s="168"/>
      <c r="B930" s="302">
        <v>1</v>
      </c>
      <c r="C930" s="298" t="s">
        <v>9</v>
      </c>
      <c r="D930" s="300" t="s">
        <v>1876</v>
      </c>
      <c r="E930" s="172">
        <f>'Comparison - Annexure 04'!K70</f>
        <v>215</v>
      </c>
      <c r="F930" s="298" t="s">
        <v>9</v>
      </c>
      <c r="G930" s="193">
        <f>E930*B930</f>
        <v>215</v>
      </c>
      <c r="H930" s="276"/>
    </row>
    <row r="931" spans="1:8" ht="18">
      <c r="A931" s="168"/>
      <c r="B931" s="302"/>
      <c r="C931" s="298"/>
      <c r="D931" s="273"/>
      <c r="E931" s="379"/>
      <c r="F931" s="397"/>
      <c r="G931" s="195"/>
    </row>
    <row r="932" spans="1:8" ht="36">
      <c r="A932" s="168">
        <f>+A928+1</f>
        <v>52</v>
      </c>
      <c r="B932" s="302"/>
      <c r="C932" s="298"/>
      <c r="D932" s="273" t="str">
        <f>'BOQ-C&amp;I'!C185</f>
        <v>Specification same as above but excluding cost of putty (Wall &amp; Ceiling Painting)</v>
      </c>
      <c r="E932" s="379"/>
      <c r="F932" s="397"/>
      <c r="G932" s="195"/>
    </row>
    <row r="933" spans="1:8" ht="18">
      <c r="A933" s="168"/>
      <c r="B933" s="302"/>
      <c r="C933" s="298"/>
      <c r="D933" s="300"/>
      <c r="E933" s="172"/>
      <c r="F933" s="302"/>
      <c r="G933" s="195"/>
    </row>
    <row r="934" spans="1:8" ht="18">
      <c r="A934" s="168"/>
      <c r="B934" s="302">
        <v>1</v>
      </c>
      <c r="C934" s="298" t="s">
        <v>9</v>
      </c>
      <c r="D934" s="300" t="s">
        <v>1876</v>
      </c>
      <c r="E934" s="172">
        <f>'Comparison - Annexure 04'!K71</f>
        <v>195</v>
      </c>
      <c r="F934" s="298" t="s">
        <v>9</v>
      </c>
      <c r="G934" s="193">
        <f>E934*B934</f>
        <v>195</v>
      </c>
      <c r="H934" s="276"/>
    </row>
    <row r="935" spans="1:8" ht="18">
      <c r="A935" s="168"/>
      <c r="B935" s="302"/>
      <c r="C935" s="298"/>
      <c r="D935" s="300"/>
      <c r="E935" s="302"/>
      <c r="F935" s="302"/>
      <c r="G935" s="195"/>
    </row>
    <row r="936" spans="1:8" ht="90">
      <c r="A936" s="168">
        <f>+A932+1</f>
        <v>53</v>
      </c>
      <c r="B936" s="302"/>
      <c r="C936" s="298"/>
      <c r="D936" s="351" t="str">
        <f>'BOQ-C&amp;I'!C186</f>
        <v>Applying white washing three coats to ceilings and walls with pure shell lime or fat lime  conforming to IS-712 all as per Specification and as directed. complying with relevant standard specification, as directed by the departmental officers.</v>
      </c>
      <c r="E936" s="379"/>
      <c r="F936" s="397"/>
      <c r="G936" s="195"/>
    </row>
    <row r="937" spans="1:8" ht="20.25">
      <c r="A937" s="168"/>
      <c r="B937" s="398"/>
      <c r="C937" s="399"/>
      <c r="D937" s="400" t="s">
        <v>1635</v>
      </c>
      <c r="E937" s="401"/>
      <c r="F937" s="402"/>
      <c r="G937" s="403"/>
    </row>
    <row r="938" spans="1:8" ht="20.25">
      <c r="A938" s="168"/>
      <c r="B938" s="297"/>
      <c r="C938" s="298"/>
      <c r="D938" s="299" t="s">
        <v>1636</v>
      </c>
      <c r="E938" s="172"/>
      <c r="F938" s="302"/>
      <c r="G938" s="270"/>
    </row>
    <row r="939" spans="1:8" ht="20.25">
      <c r="A939" s="168"/>
      <c r="B939" s="297">
        <v>0.09</v>
      </c>
      <c r="C939" s="298" t="s">
        <v>1499</v>
      </c>
      <c r="D939" s="299" t="s">
        <v>191</v>
      </c>
      <c r="E939" s="172">
        <f>'Lead Statement'!I11</f>
        <v>1348</v>
      </c>
      <c r="F939" s="298" t="s">
        <v>1499</v>
      </c>
      <c r="G939" s="303">
        <f>+E939*B939</f>
        <v>121.32</v>
      </c>
    </row>
    <row r="940" spans="1:8" ht="18">
      <c r="A940" s="168"/>
      <c r="B940" s="297">
        <v>2.2000000000000002</v>
      </c>
      <c r="C940" s="298" t="s">
        <v>51</v>
      </c>
      <c r="D940" s="299" t="s">
        <v>183</v>
      </c>
      <c r="E940" s="172">
        <f>Labour!E8</f>
        <v>756</v>
      </c>
      <c r="F940" s="298" t="s">
        <v>165</v>
      </c>
      <c r="G940" s="303">
        <f>+E940*B940</f>
        <v>1663.2</v>
      </c>
    </row>
    <row r="941" spans="1:8" ht="18">
      <c r="A941" s="168"/>
      <c r="B941" s="297">
        <v>0.5</v>
      </c>
      <c r="C941" s="298" t="s">
        <v>51</v>
      </c>
      <c r="D941" s="299" t="s">
        <v>151</v>
      </c>
      <c r="E941" s="172">
        <f>Labour!E6</f>
        <v>618</v>
      </c>
      <c r="F941" s="298" t="s">
        <v>165</v>
      </c>
      <c r="G941" s="303">
        <f>+E941*B941</f>
        <v>309</v>
      </c>
    </row>
    <row r="942" spans="1:8" ht="18">
      <c r="A942" s="168"/>
      <c r="B942" s="297">
        <v>3.8</v>
      </c>
      <c r="C942" s="298" t="s">
        <v>51</v>
      </c>
      <c r="D942" s="299" t="s">
        <v>883</v>
      </c>
      <c r="E942" s="172">
        <f>Labour!E9</f>
        <v>732</v>
      </c>
      <c r="F942" s="298" t="s">
        <v>165</v>
      </c>
      <c r="G942" s="303">
        <f>+E942*B942</f>
        <v>2781.6</v>
      </c>
    </row>
    <row r="943" spans="1:8" ht="18">
      <c r="A943" s="168"/>
      <c r="B943" s="297"/>
      <c r="C943" s="298"/>
      <c r="D943" s="300" t="s">
        <v>190</v>
      </c>
      <c r="E943" s="172"/>
      <c r="F943" s="298"/>
      <c r="G943" s="303">
        <f>SUM(G939:G942)</f>
        <v>4875.12</v>
      </c>
    </row>
    <row r="944" spans="1:8" ht="18">
      <c r="A944" s="168"/>
      <c r="B944" s="297"/>
      <c r="C944" s="298" t="s">
        <v>182</v>
      </c>
      <c r="D944" s="301" t="s">
        <v>189</v>
      </c>
      <c r="E944" s="172"/>
      <c r="F944" s="302"/>
      <c r="G944" s="303">
        <v>1.5</v>
      </c>
    </row>
    <row r="945" spans="1:7" ht="18">
      <c r="A945" s="168"/>
      <c r="B945" s="297"/>
      <c r="C945" s="298"/>
      <c r="D945" s="299" t="s">
        <v>188</v>
      </c>
      <c r="E945" s="172"/>
      <c r="F945" s="302"/>
      <c r="G945" s="303">
        <f>G943+G944</f>
        <v>4876.62</v>
      </c>
    </row>
    <row r="946" spans="1:7" ht="20.25">
      <c r="A946" s="168"/>
      <c r="B946" s="297"/>
      <c r="C946" s="298"/>
      <c r="D946" s="299" t="s">
        <v>1500</v>
      </c>
      <c r="E946" s="172"/>
      <c r="F946" s="298"/>
      <c r="G946" s="303">
        <f>SUM(G945:G945)</f>
        <v>4876.62</v>
      </c>
    </row>
    <row r="947" spans="1:7" ht="18">
      <c r="A947" s="168"/>
      <c r="B947" s="302"/>
      <c r="C947" s="298"/>
      <c r="D947" s="277" t="s">
        <v>152</v>
      </c>
      <c r="E947" s="379"/>
      <c r="F947" s="397"/>
      <c r="G947" s="404">
        <f>ROUND(+G946/100,0)</f>
        <v>49</v>
      </c>
    </row>
    <row r="948" spans="1:7" ht="18">
      <c r="A948" s="168"/>
      <c r="B948" s="302"/>
      <c r="C948" s="298"/>
      <c r="D948" s="277"/>
      <c r="E948" s="396"/>
      <c r="F948" s="397"/>
      <c r="G948" s="195"/>
    </row>
    <row r="949" spans="1:7" ht="198">
      <c r="A949" s="168">
        <f>+A936+1</f>
        <v>54</v>
      </c>
      <c r="B949" s="169"/>
      <c r="C949" s="170"/>
      <c r="D949" s="351" t="str">
        <f>'BOQ-C&amp;I'!C187</f>
        <v>Supplying and painting of  2 coats of weather proof exterior emulsion with high sheen, anti algal properties over one coat wall exterior primer of approved quality and shade etc., complete.Rate including all brush, ladder, scrapping, washing, materials, labour charges, wastages , cleaning, necessary lead and lifts, scaffolding, stagging, working at all levels, elevations, transportation charges, loading, unloading, curing, sanding, touch-up putty, surface thoroughly cleaned and wetted before painting as complete with all respects complying with relevant standard specification and as directed by the departmental officers.</v>
      </c>
      <c r="E949" s="170"/>
      <c r="F949" s="170"/>
      <c r="G949" s="195"/>
    </row>
    <row r="950" spans="1:7" s="390" customFormat="1" ht="18">
      <c r="A950" s="168"/>
      <c r="B950" s="302">
        <v>1.4</v>
      </c>
      <c r="C950" s="298" t="s">
        <v>184</v>
      </c>
      <c r="D950" s="299" t="s">
        <v>186</v>
      </c>
      <c r="E950" s="172">
        <f>Material!D32</f>
        <v>303.8</v>
      </c>
      <c r="F950" s="298" t="s">
        <v>184</v>
      </c>
      <c r="G950" s="195">
        <f>B950*E950</f>
        <v>425.32</v>
      </c>
    </row>
    <row r="951" spans="1:7" s="390" customFormat="1" ht="18">
      <c r="A951" s="168"/>
      <c r="B951" s="302">
        <v>0.98</v>
      </c>
      <c r="C951" s="298" t="s">
        <v>184</v>
      </c>
      <c r="D951" s="299" t="s">
        <v>185</v>
      </c>
      <c r="E951" s="172">
        <f>+Material!D31</f>
        <v>151.30000000000001</v>
      </c>
      <c r="F951" s="298" t="s">
        <v>184</v>
      </c>
      <c r="G951" s="195">
        <f>B951*E951</f>
        <v>148.274</v>
      </c>
    </row>
    <row r="952" spans="1:7" s="390" customFormat="1" ht="18">
      <c r="A952" s="168"/>
      <c r="B952" s="302">
        <v>2.2000000000000002</v>
      </c>
      <c r="C952" s="298" t="s">
        <v>51</v>
      </c>
      <c r="D952" s="299" t="s">
        <v>183</v>
      </c>
      <c r="E952" s="172">
        <f>Labour!E8</f>
        <v>756</v>
      </c>
      <c r="F952" s="298" t="s">
        <v>165</v>
      </c>
      <c r="G952" s="195">
        <f>B952*E952</f>
        <v>1663.2</v>
      </c>
    </row>
    <row r="953" spans="1:7" s="390" customFormat="1" ht="18">
      <c r="A953" s="168"/>
      <c r="B953" s="302"/>
      <c r="C953" s="298" t="s">
        <v>182</v>
      </c>
      <c r="D953" s="299" t="s">
        <v>181</v>
      </c>
      <c r="E953" s="172"/>
      <c r="F953" s="298" t="s">
        <v>180</v>
      </c>
      <c r="G953" s="195">
        <v>1.74</v>
      </c>
    </row>
    <row r="954" spans="1:7" s="390" customFormat="1" ht="20.25">
      <c r="A954" s="168"/>
      <c r="B954" s="302"/>
      <c r="C954" s="298"/>
      <c r="D954" s="299" t="s">
        <v>1637</v>
      </c>
      <c r="E954" s="302"/>
      <c r="F954" s="298"/>
      <c r="G954" s="171">
        <f>SUM(G950:G953)</f>
        <v>2238.5339999999997</v>
      </c>
    </row>
    <row r="955" spans="1:7" ht="20.25">
      <c r="A955" s="168"/>
      <c r="B955" s="169"/>
      <c r="C955" s="168"/>
      <c r="D955" s="400" t="s">
        <v>1638</v>
      </c>
      <c r="E955" s="302"/>
      <c r="F955" s="298"/>
      <c r="G955" s="171">
        <f>ROUNDUP(G954/10,0)</f>
        <v>224</v>
      </c>
    </row>
    <row r="956" spans="1:7" ht="18">
      <c r="A956" s="168"/>
      <c r="B956" s="169"/>
      <c r="C956" s="170"/>
      <c r="D956" s="272"/>
      <c r="E956" s="170"/>
      <c r="F956" s="170"/>
      <c r="G956" s="171"/>
    </row>
    <row r="957" spans="1:7" ht="234">
      <c r="A957" s="168">
        <f>A949+1</f>
        <v>55</v>
      </c>
      <c r="B957" s="169"/>
      <c r="C957" s="170"/>
      <c r="D957" s="277" t="str">
        <f>'BOQ-C&amp;I'!C188</f>
        <v>Providing and applying Texture paint finish for exterior / interior surface as per Manufacturers specification and as directed. Application of primer by diluting the  texture compound by mineral on the plastered surface and apply final two coats of exterior / interior emulsion on the primer. Rate including all brush, ladder, scrapping, washing, materials, labour charges, wastages , cleaning, necessary lead and lifts, scaffolding, stagging, working at all levels, elevations,  transportation charges, loading, unloading, curing, sanding, touch-up putty, surface thoroughly cleaned and wetted before painting as complete with all respects complying with relevant standard specification and as directed by the departmental officers..( Internal surfaces)</v>
      </c>
      <c r="E957" s="170"/>
      <c r="F957" s="170"/>
      <c r="G957" s="195"/>
    </row>
    <row r="958" spans="1:7" ht="18">
      <c r="A958" s="168"/>
      <c r="B958" s="169">
        <v>1</v>
      </c>
      <c r="C958" s="170" t="s">
        <v>177</v>
      </c>
      <c r="D958" s="277" t="s">
        <v>179</v>
      </c>
      <c r="E958" s="172">
        <f>Material!D33</f>
        <v>412</v>
      </c>
      <c r="F958" s="170" t="s">
        <v>177</v>
      </c>
      <c r="G958" s="195">
        <f>E958*B958</f>
        <v>412</v>
      </c>
    </row>
    <row r="959" spans="1:7" ht="18">
      <c r="A959" s="168"/>
      <c r="B959" s="169"/>
      <c r="C959" s="170"/>
      <c r="D959" s="272" t="s">
        <v>176</v>
      </c>
      <c r="E959" s="170"/>
      <c r="F959" s="170"/>
      <c r="G959" s="171">
        <f>SUM(G958:G958)</f>
        <v>412</v>
      </c>
    </row>
    <row r="960" spans="1:7" ht="18">
      <c r="A960" s="168"/>
      <c r="B960" s="169"/>
      <c r="C960" s="170"/>
      <c r="D960" s="272"/>
      <c r="E960" s="170"/>
      <c r="F960" s="170"/>
      <c r="G960" s="171"/>
    </row>
    <row r="961" spans="1:7" ht="18">
      <c r="A961" s="168"/>
      <c r="B961" s="273"/>
      <c r="C961" s="273"/>
      <c r="D961" s="304" t="s">
        <v>104</v>
      </c>
      <c r="E961" s="273"/>
      <c r="F961" s="174"/>
      <c r="G961" s="405"/>
    </row>
    <row r="962" spans="1:7" s="278" customFormat="1" ht="288">
      <c r="A962" s="406"/>
      <c r="B962" s="273"/>
      <c r="C962" s="273"/>
      <c r="D962" s="351" t="str">
        <f>'BOQ-C&amp;I'!C191</f>
        <v>Supply and laying of respective water proofing treatment at below mentioned locations including all below activities.The surface to be waterproofed shall be cleaned to ensure it is free of laitance, loose particles, oily substance which may affect the adhesion of the waterproofing system, using mechanical rotary wire brush and related tools etc. Rate including all materials, labour charges, wastages with necessary lead and lifts, working at all levels, transportation charges, loading, unloading, preparation of surface, necessary hacking in RCC surface, scaffolding, staging, tools and plants, fuel, curing,  cleaning, testing, consumables and also include for conducting leakage test at toilet sunken portion and over head tanks by storing water on the sunken continuously for a period of 7 days etc. as complete with all respects complying with relevant standard specification and as directed by the departmental officers.</v>
      </c>
      <c r="E962" s="273"/>
      <c r="F962" s="174"/>
      <c r="G962" s="405"/>
    </row>
    <row r="963" spans="1:7" s="278" customFormat="1" ht="72">
      <c r="A963" s="168">
        <f>A957+1</f>
        <v>56</v>
      </c>
      <c r="B963" s="169"/>
      <c r="C963" s="195"/>
      <c r="D963" s="407" t="str">
        <f>'BOQ-C&amp;I'!C192</f>
        <v xml:space="preserve">Supply and laying water proofing treatment on top of PCC laid for Grade slab, Raft, Pile cap ,footing  &amp; beam, UG Sump , Water tank etc., in the following order and  consisting of following operations. </v>
      </c>
      <c r="E963" s="195"/>
      <c r="F963" s="214"/>
      <c r="G963" s="195"/>
    </row>
    <row r="964" spans="1:7" s="278" customFormat="1" ht="90">
      <c r="A964" s="168"/>
      <c r="B964" s="169"/>
      <c r="C964" s="195"/>
      <c r="D964" s="351" t="str">
        <f>'BOQ-C&amp;I'!C193</f>
        <v xml:space="preserve">i) Supply and applying  of one coat of TAPECRETE Acrylic Polymer Cementitious Coating over rendered PCC surface. Application of CORCHEM 206 – I High Build Polyurethane Based Elastomeric Coating to the thickness of 1.5 mm in two coats over TAPECRETE applied surface. </v>
      </c>
      <c r="E964" s="195"/>
      <c r="F964" s="214"/>
      <c r="G964" s="195"/>
    </row>
    <row r="965" spans="1:7" s="278" customFormat="1" ht="108">
      <c r="A965" s="168"/>
      <c r="B965" s="169"/>
      <c r="C965" s="195"/>
      <c r="D965" s="351" t="str">
        <f>'BOQ-C&amp;I'!C194</f>
        <v xml:space="preserve">ii)Supply and Fixing 75 mm long 18 mm dia GI nozzles in the hole of about half the depth of member size in grid pattern at a spacing not more than 1.0 meter c/c while casting the raft slab and along  construction joints at a spacing not more than 1.0 meter c/c along the construction joints. </v>
      </c>
      <c r="E965" s="195"/>
      <c r="F965" s="214"/>
      <c r="G965" s="195"/>
    </row>
    <row r="966" spans="1:7" s="278" customFormat="1" ht="90">
      <c r="A966" s="168"/>
      <c r="B966" s="169"/>
      <c r="C966" s="195"/>
      <c r="D966" s="351" t="str">
        <f>'BOQ-C&amp;I'!C195</f>
        <v>iii) Supply and Applying injection grouting through the nozzles grouting pumps with a minimum pressure of 2 kg/sqcm with cement slurry admixed with CICO Non shrink Polymeric Water Proof Grouting Compound or approved equivalent at the rate of 2% by weight of cement.</v>
      </c>
      <c r="E966" s="195"/>
      <c r="F966" s="214"/>
      <c r="G966" s="195"/>
    </row>
    <row r="967" spans="1:7" s="278" customFormat="1" ht="54">
      <c r="A967" s="168"/>
      <c r="B967" s="169"/>
      <c r="C967" s="195"/>
      <c r="D967" s="351" t="str">
        <f>'BOQ-C&amp;I'!C196</f>
        <v>iv) Sealing &amp; cutting of the nozzles, and levelling the surface using integral Waterproofing compound CICO NO.3 or approved equivalent in the ratio 1:1by weight.</v>
      </c>
      <c r="E967" s="195"/>
      <c r="F967" s="214"/>
      <c r="G967" s="195"/>
    </row>
    <row r="968" spans="1:7" ht="18">
      <c r="A968" s="168"/>
      <c r="B968" s="169">
        <v>1</v>
      </c>
      <c r="C968" s="170" t="s">
        <v>177</v>
      </c>
      <c r="D968" s="277" t="s">
        <v>1876</v>
      </c>
      <c r="E968" s="172">
        <f>'Comparison - Annexure 04'!K19</f>
        <v>975</v>
      </c>
      <c r="F968" s="170" t="s">
        <v>177</v>
      </c>
      <c r="G968" s="195">
        <f>E968*B968</f>
        <v>975</v>
      </c>
    </row>
    <row r="969" spans="1:7" ht="18">
      <c r="A969" s="168"/>
      <c r="B969" s="169"/>
      <c r="C969" s="170"/>
      <c r="D969" s="272" t="s">
        <v>176</v>
      </c>
      <c r="E969" s="170"/>
      <c r="F969" s="170"/>
      <c r="G969" s="171">
        <f>SUM(G968:G968)</f>
        <v>975</v>
      </c>
    </row>
    <row r="970" spans="1:7" s="278" customFormat="1" ht="18">
      <c r="A970" s="168"/>
      <c r="B970" s="169"/>
      <c r="C970" s="195"/>
      <c r="D970" s="164"/>
      <c r="E970" s="195"/>
      <c r="F970" s="214"/>
      <c r="G970" s="195"/>
    </row>
    <row r="971" spans="1:7" s="278" customFormat="1" ht="72">
      <c r="A971" s="168">
        <f>+A963+1</f>
        <v>57</v>
      </c>
      <c r="B971" s="169"/>
      <c r="C971" s="195"/>
      <c r="D971" s="351" t="str">
        <f>'BOQ-C&amp;I'!C197</f>
        <v>Supply and applying water proofing treatment on Retaining walls external surface at Lift wall, UG Sump, Water tank, Raft sides etc. using cement admixed with  water proofing compound in the following order.</v>
      </c>
      <c r="E971" s="195"/>
      <c r="F971" s="214"/>
      <c r="G971" s="195"/>
    </row>
    <row r="972" spans="1:7" s="278" customFormat="1" ht="54">
      <c r="A972" s="168"/>
      <c r="B972" s="169"/>
      <c r="C972" s="195"/>
      <c r="D972" s="351" t="str">
        <f>'BOQ-C&amp;I'!C198</f>
        <v>i) Making ' V ' grooves at the construction joints of size  20 x 20 mm and filling the "V" Groove with CICO No. 3 Quick Setting Waterproofing Compound admixed with cement</v>
      </c>
      <c r="E972" s="195"/>
      <c r="F972" s="214"/>
      <c r="G972" s="195"/>
    </row>
    <row r="973" spans="1:7" s="278" customFormat="1" ht="72">
      <c r="A973" s="168"/>
      <c r="B973" s="169"/>
      <c r="C973" s="195"/>
      <c r="D973" s="351" t="str">
        <f>'BOQ-C&amp;I'!C199</f>
        <v>ii) Supply and Fixing of 50 long 18 mm dia GI nozzles in the hole of about half the depth of member size along  construction joints, and honey comb areas at a spacing not more than 1m c/c.</v>
      </c>
      <c r="E973" s="195"/>
      <c r="F973" s="214"/>
      <c r="G973" s="195"/>
    </row>
    <row r="974" spans="1:7" s="278" customFormat="1" ht="90">
      <c r="A974" s="168"/>
      <c r="B974" s="169"/>
      <c r="C974" s="195"/>
      <c r="D974" s="351" t="str">
        <f>'BOQ-C&amp;I'!C200</f>
        <v>iii) Supply and Applying injection grouting through the nozzles grouting pumps with a minimum pressure of 2 kg/sqcm with cement slurry admixed with CICO Non shrink Polymeric Water Proof Grouting Compound or approved equivalent at the rate of 2% by weight of cement.</v>
      </c>
      <c r="E974" s="195"/>
      <c r="F974" s="214"/>
      <c r="G974" s="195"/>
    </row>
    <row r="975" spans="1:7" s="278" customFormat="1" ht="54">
      <c r="A975" s="168"/>
      <c r="B975" s="169"/>
      <c r="C975" s="195"/>
      <c r="D975" s="351" t="str">
        <f>'BOQ-C&amp;I'!C201</f>
        <v>iv) Sealing &amp; cutting of nozzles and levelling the surface using integral Waterproofing compound CICO NO.3 or approved equivalent in the ratio 1:1by weight.</v>
      </c>
      <c r="E975" s="195"/>
      <c r="F975" s="214"/>
      <c r="G975" s="195"/>
    </row>
    <row r="976" spans="1:7" s="278" customFormat="1" ht="108">
      <c r="A976" s="168"/>
      <c r="B976" s="169"/>
      <c r="C976" s="195"/>
      <c r="D976" s="351" t="str">
        <f>'BOQ-C&amp;I'!C202</f>
        <v>v)Supply and applying one coat of TAPECRETE Acrylic Polymer Modified Cementitious Slurry Coat over  well prepared surface as a Primer and applying CICO CORCHEM 206 - I Polyurethane Based Elastomeric Coating to the thickness of 1.5 mm in 2 coats over TAPECRETE slurry coat applied surface.</v>
      </c>
      <c r="E976" s="195"/>
      <c r="F976" s="214"/>
      <c r="G976" s="195"/>
    </row>
    <row r="977" spans="1:7" s="278" customFormat="1" ht="162">
      <c r="A977" s="168"/>
      <c r="B977" s="169"/>
      <c r="C977" s="195"/>
      <c r="D977" s="351" t="str">
        <f>'BOQ-C&amp;I'!C203</f>
        <v>vi) Lay protective plaster layer with 12mm thick Cement Mortar 1:4 (1 cement: 4 P.sand)  admixed with Normal setting integral Waterproofing compound CICO NO.1 or approved equivalent conforming to IS 2645 at the rate of  2% by weight of cement over the third coat of brush topping. Plaster shall be cured by  spraying of water for the next 7days. The entire water proofing system shall be protected with a 25 mm thick extruded polystyrene with necessary low VOC adhesive.</v>
      </c>
      <c r="E977" s="195"/>
      <c r="F977" s="214"/>
      <c r="G977" s="195"/>
    </row>
    <row r="978" spans="1:7" ht="18">
      <c r="A978" s="168"/>
      <c r="B978" s="169">
        <v>1</v>
      </c>
      <c r="C978" s="170" t="s">
        <v>177</v>
      </c>
      <c r="D978" s="277" t="s">
        <v>1876</v>
      </c>
      <c r="E978" s="172">
        <f>'Comparison - Annexure 04'!K26</f>
        <v>1250</v>
      </c>
      <c r="F978" s="170" t="s">
        <v>177</v>
      </c>
      <c r="G978" s="195">
        <f>E978*B978</f>
        <v>1250</v>
      </c>
    </row>
    <row r="979" spans="1:7" ht="18">
      <c r="A979" s="168"/>
      <c r="B979" s="169"/>
      <c r="C979" s="170"/>
      <c r="D979" s="272" t="s">
        <v>176</v>
      </c>
      <c r="E979" s="170"/>
      <c r="F979" s="170"/>
      <c r="G979" s="171">
        <f>SUM(G978:G978)</f>
        <v>1250</v>
      </c>
    </row>
    <row r="980" spans="1:7" s="278" customFormat="1" ht="18">
      <c r="A980" s="168"/>
      <c r="B980" s="169"/>
      <c r="C980" s="195"/>
      <c r="D980" s="164"/>
      <c r="E980" s="195"/>
      <c r="F980" s="214"/>
      <c r="G980" s="195"/>
    </row>
    <row r="981" spans="1:7" s="278" customFormat="1" ht="54">
      <c r="A981" s="168">
        <f>A971+1</f>
        <v>58</v>
      </c>
      <c r="B981" s="169"/>
      <c r="C981" s="195"/>
      <c r="D981" s="351" t="str">
        <f>'BOQ-C&amp;I'!C204</f>
        <v xml:space="preserve">Supply and laying water proofing treatment Internal surface of Lift wall, water tank etc., in the following order and  consisting of following operations. </v>
      </c>
      <c r="E981" s="195"/>
      <c r="F981" s="214"/>
      <c r="G981" s="195"/>
    </row>
    <row r="982" spans="1:7" s="278" customFormat="1" ht="72">
      <c r="A982" s="168"/>
      <c r="B982" s="169"/>
      <c r="C982" s="195"/>
      <c r="D982" s="351" t="str">
        <f>'BOQ-C&amp;I'!C205</f>
        <v xml:space="preserve"> i) Making ' V ' grooves at the construction joints of size  20 x 20 mm and clean the surface with wire brush, and filling the "V" Groove with CICO No. 3 Quick Setting Waterproofing Compound admixed with cement</v>
      </c>
      <c r="E982" s="195"/>
      <c r="F982" s="214"/>
      <c r="G982" s="195"/>
    </row>
    <row r="983" spans="1:7" s="278" customFormat="1" ht="162">
      <c r="A983" s="168"/>
      <c r="B983" s="169"/>
      <c r="C983" s="195"/>
      <c r="D983" s="351" t="str">
        <f>'BOQ-C&amp;I'!C206</f>
        <v>ii) Supply and Fixing 18 mm dia GI nozzles  (the hole shall be  about half the depth of the member to be grouted and nozzle should be 50mm)  the retaining wall, along  construction joints, and honey comb areas at a spacing not more than 1m c/c . Nozzles (can also) shall be post fixed by drilling holes using  drill machine and to be fixed with cement putty admixed with quick setting integral Waterproofing compound CICO NO.3 or approved equivalent in the ratio 1:1by weight .</v>
      </c>
      <c r="E983" s="195"/>
      <c r="F983" s="214"/>
      <c r="G983" s="195"/>
    </row>
    <row r="984" spans="1:7" s="278" customFormat="1" ht="144">
      <c r="A984" s="168"/>
      <c r="B984" s="169"/>
      <c r="C984" s="195"/>
      <c r="D984" s="351" t="str">
        <f>'BOQ-C&amp;I'!C207</f>
        <v>iii) Supply and Applying injection grouting through the nozzles by hand operated grouting pumps with a minimum pressure of 2 kg/sqcm with cement slurry admixed with CICO Non shrink Polymeric Water Proof Grouting Compound or approved equivalent at the rate of 2% by weight of cement .Grouting operations to be taken up after the concrete reached the full strength, i.e 28 days after casting of concrete.</v>
      </c>
      <c r="E984" s="195"/>
      <c r="F984" s="214"/>
      <c r="G984" s="195"/>
    </row>
    <row r="985" spans="1:7" s="278" customFormat="1" ht="72">
      <c r="A985" s="168"/>
      <c r="B985" s="169"/>
      <c r="C985" s="195"/>
      <c r="D985" s="351" t="str">
        <f>'BOQ-C&amp;I'!C208</f>
        <v>iv) Sealing off the nozzles after grouting operation is over with cement putty admixed with quick setting integral Waterproofing compound CICO NO.3 or approved equivalent in the ratio 1:1by weight.</v>
      </c>
      <c r="E985" s="195"/>
      <c r="F985" s="214"/>
      <c r="G985" s="195"/>
    </row>
    <row r="986" spans="1:7" s="278" customFormat="1" ht="72">
      <c r="A986" s="168"/>
      <c r="B986" s="169"/>
      <c r="C986" s="195"/>
      <c r="D986" s="351" t="str">
        <f>'BOQ-C&amp;I'!C209</f>
        <v>v) Cut the projected nozzles if required over the concrete surface and fill with  cement putty admixed with quick setting integral Waterproofing compound CICO NO.3 or approved equivalent in the ratio 1:1by weight.</v>
      </c>
      <c r="E986" s="195"/>
      <c r="F986" s="214"/>
      <c r="G986" s="195"/>
    </row>
    <row r="987" spans="1:7" ht="18">
      <c r="A987" s="168"/>
      <c r="B987" s="169">
        <v>1</v>
      </c>
      <c r="C987" s="170" t="s">
        <v>177</v>
      </c>
      <c r="D987" s="277" t="s">
        <v>1876</v>
      </c>
      <c r="E987" s="172">
        <f>'Comparison - Annexure 04'!K32</f>
        <v>1250</v>
      </c>
      <c r="F987" s="170" t="s">
        <v>177</v>
      </c>
      <c r="G987" s="195">
        <f>E987*B987</f>
        <v>1250</v>
      </c>
    </row>
    <row r="988" spans="1:7" ht="18">
      <c r="A988" s="168"/>
      <c r="B988" s="169"/>
      <c r="C988" s="170"/>
      <c r="D988" s="272" t="s">
        <v>176</v>
      </c>
      <c r="E988" s="170"/>
      <c r="F988" s="170"/>
      <c r="G988" s="171">
        <f>SUM(G987:G987)</f>
        <v>1250</v>
      </c>
    </row>
    <row r="989" spans="1:7" s="278" customFormat="1" ht="18">
      <c r="A989" s="168"/>
      <c r="B989" s="169"/>
      <c r="C989" s="195"/>
      <c r="D989" s="164"/>
      <c r="E989" s="195"/>
      <c r="F989" s="214"/>
      <c r="G989" s="195"/>
    </row>
    <row r="990" spans="1:7" s="278" customFormat="1" ht="234">
      <c r="A990" s="168">
        <f>A981+1</f>
        <v>59</v>
      </c>
      <c r="B990" s="169"/>
      <c r="C990" s="195"/>
      <c r="D990" s="351" t="str">
        <f>'BOQ-C&amp;I'!C211</f>
        <v>Providing Polymer Coating (Water Proof Coating) for sunken portion of toilet with following specification and the surface shall be cleaned to remove all dust, foregin, matters lose materials or any other deposits of contamination by rubbing with wire brush.Slurry: Dry blend and polymer liquid blend shall be mixed into the desired ratio as per recommendation of the supplier.The mix shall be stirred thoroughly until no bubbles remain in the mix. Any lumps found in mix shall be removed.Apply first coat of polymer modified cementitious slurry by brush on wet cleaned surface. After drying, second coat shall be applied on the first coat as directed by the departmental officers etc. The rate inclusive of cost of materials and labour, etc., complete.</v>
      </c>
      <c r="E990" s="195"/>
      <c r="F990" s="214"/>
      <c r="G990" s="195"/>
    </row>
    <row r="991" spans="1:7" ht="18">
      <c r="A991" s="168"/>
      <c r="B991" s="169">
        <v>1</v>
      </c>
      <c r="C991" s="170" t="s">
        <v>177</v>
      </c>
      <c r="D991" s="277" t="s">
        <v>730</v>
      </c>
      <c r="E991" s="172">
        <v>329</v>
      </c>
      <c r="F991" s="170" t="s">
        <v>177</v>
      </c>
      <c r="G991" s="195">
        <f>E991*B991</f>
        <v>329</v>
      </c>
    </row>
    <row r="992" spans="1:7" ht="18">
      <c r="A992" s="168"/>
      <c r="B992" s="169"/>
      <c r="C992" s="170"/>
      <c r="D992" s="272" t="s">
        <v>176</v>
      </c>
      <c r="E992" s="170"/>
      <c r="F992" s="170"/>
      <c r="G992" s="171">
        <f>SUM(G991:G991)</f>
        <v>329</v>
      </c>
    </row>
    <row r="993" spans="1:9" s="278" customFormat="1" ht="18">
      <c r="A993" s="168"/>
      <c r="B993" s="169"/>
      <c r="C993" s="195"/>
      <c r="D993" s="164"/>
      <c r="E993" s="195"/>
      <c r="F993" s="214"/>
      <c r="G993" s="195"/>
    </row>
    <row r="994" spans="1:9" s="278" customFormat="1" ht="162">
      <c r="A994" s="168">
        <f>A990+1</f>
        <v>60</v>
      </c>
      <c r="B994" s="169"/>
      <c r="C994" s="195"/>
      <c r="D994" s="351" t="str">
        <f>'BOQ-C&amp;I'!C212</f>
        <v>Supply and grouting the gaps around the pipes at any dia should be filed in order to provide a proper bond and the same to be aligned by the respective agency.  Clean the entire surface and remove the loose particles from the core area. Minimum of 10mm all around gap to be provided between the pipe and the core Provide shuttering below the core apply one coat of CICO LATEX over the area and fill up the hole with CICO GROUT - GP Polymer Based Non-Shrink Grout and finish the surface smoothly.</v>
      </c>
      <c r="E994" s="195"/>
      <c r="F994" s="214"/>
      <c r="G994" s="195"/>
    </row>
    <row r="995" spans="1:9" ht="18">
      <c r="A995" s="168"/>
      <c r="B995" s="169">
        <v>1</v>
      </c>
      <c r="C995" s="170" t="s">
        <v>51</v>
      </c>
      <c r="D995" s="277" t="s">
        <v>1876</v>
      </c>
      <c r="E995" s="172">
        <f>'Comparison - Annexure 04'!K33</f>
        <v>450</v>
      </c>
      <c r="F995" s="170" t="s">
        <v>51</v>
      </c>
      <c r="G995" s="195">
        <f>E995*B995</f>
        <v>450</v>
      </c>
    </row>
    <row r="996" spans="1:9" ht="18">
      <c r="A996" s="168"/>
      <c r="B996" s="169"/>
      <c r="C996" s="170"/>
      <c r="D996" s="272" t="s">
        <v>176</v>
      </c>
      <c r="E996" s="170"/>
      <c r="F996" s="170"/>
      <c r="G996" s="171">
        <f>SUM(G995:G995)</f>
        <v>450</v>
      </c>
    </row>
    <row r="997" spans="1:9" s="278" customFormat="1" ht="270">
      <c r="A997" s="168">
        <f>A994+1</f>
        <v>61</v>
      </c>
      <c r="B997" s="169"/>
      <c r="C997" s="195"/>
      <c r="D997" s="351" t="str">
        <f>'BOQ-C&amp;I'!C213</f>
        <v>Supplying and filling the sunken slab  area by  BRICK-BATCOBA by adding CICO NO:1 or approved equivalent admixture including applying two coats not less than 2 mm thick of TAPECRETE- Acrylic  Polymer Based Waterproof Coating, over the final coat of cement plaster 12 mm thick with cement M.sand mortar 1:3 mixed with water proofing compound like CICO No.1 at the rate specified in the manufacturer's specification after entire completion of laying pipes, sanitary fittings etc.  Rate including all materials, labour charges, wastages with necessary lead and lifts, working at all levels, protecting the laid pipes and sanitary fittings, finishing the surface smooth to receive the top coat of water proofing application etc. as complete with all respects complying with relevant standard specification and as directed by the departmental officers.</v>
      </c>
      <c r="E997" s="195"/>
      <c r="F997" s="214"/>
      <c r="G997" s="195"/>
    </row>
    <row r="998" spans="1:9" ht="18">
      <c r="A998" s="168"/>
      <c r="B998" s="169">
        <v>1</v>
      </c>
      <c r="C998" s="170" t="s">
        <v>177</v>
      </c>
      <c r="D998" s="277" t="s">
        <v>1876</v>
      </c>
      <c r="E998" s="172">
        <f>'Comparison - Annexure 04'!K34</f>
        <v>6300</v>
      </c>
      <c r="F998" s="170" t="s">
        <v>155</v>
      </c>
      <c r="G998" s="195">
        <f>E998*B998</f>
        <v>6300</v>
      </c>
      <c r="I998" s="408"/>
    </row>
    <row r="999" spans="1:9" ht="18">
      <c r="A999" s="168"/>
      <c r="B999" s="169"/>
      <c r="C999" s="170"/>
      <c r="D999" s="272" t="s">
        <v>178</v>
      </c>
      <c r="E999" s="170"/>
      <c r="F999" s="170"/>
      <c r="G999" s="171">
        <f>SUM(G998:G998)</f>
        <v>6300</v>
      </c>
    </row>
    <row r="1000" spans="1:9" s="278" customFormat="1" ht="18">
      <c r="A1000" s="168"/>
      <c r="B1000" s="169"/>
      <c r="C1000" s="195"/>
      <c r="D1000" s="164"/>
      <c r="E1000" s="195"/>
      <c r="F1000" s="214"/>
      <c r="G1000" s="195"/>
    </row>
    <row r="1001" spans="1:9" s="278" customFormat="1" ht="54">
      <c r="A1001" s="168">
        <f>A997+1</f>
        <v>62</v>
      </c>
      <c r="B1001" s="169"/>
      <c r="C1001" s="195"/>
      <c r="D1001" s="351" t="str">
        <f>'BOQ-C&amp;I'!C214</f>
        <v xml:space="preserve">Supply and laying water proofing treatment for bottom of over head tanks  covering the following order and  consisting of following operations. </v>
      </c>
      <c r="E1001" s="195"/>
      <c r="F1001" s="214"/>
      <c r="G1001" s="195"/>
    </row>
    <row r="1002" spans="1:9" s="278" customFormat="1" ht="108">
      <c r="A1002" s="168"/>
      <c r="B1002" s="169"/>
      <c r="C1002" s="195"/>
      <c r="D1002" s="351" t="str">
        <f>'BOQ-C&amp;I'!C215</f>
        <v xml:space="preserve">i)Supply and Fixing 75 mm long 18 mm dia GI nozzles in the hole of about half the depth of member size in grid pattern at a spacing not more than 1.0 meter c/c while casting the bottom slab and along  construction joints at a spacing not more than 1.0 meter c/c along the construction joints. </v>
      </c>
      <c r="E1002" s="195"/>
      <c r="F1002" s="214"/>
      <c r="G1002" s="195"/>
    </row>
    <row r="1003" spans="1:9" s="278" customFormat="1" ht="90">
      <c r="A1003" s="168"/>
      <c r="B1003" s="169"/>
      <c r="C1003" s="195"/>
      <c r="D1003" s="351" t="str">
        <f>'BOQ-C&amp;I'!C216</f>
        <v>ii) Supply and Applying injection grouting through the nozzles grouting pumps with a minimum pressure of 2 kg/sqcm with cement slurry admixed with CICO Non shrink Polymeric Water Proof Grouting Compound or approved equivalent at the rate of 2% by weight of cement.</v>
      </c>
      <c r="E1003" s="195"/>
      <c r="F1003" s="214"/>
      <c r="G1003" s="195"/>
    </row>
    <row r="1004" spans="1:9" s="278" customFormat="1" ht="54">
      <c r="A1004" s="168"/>
      <c r="B1004" s="169"/>
      <c r="C1004" s="195"/>
      <c r="D1004" s="351" t="str">
        <f>'BOQ-C&amp;I'!C217</f>
        <v>iii) Sealing off the nozzles and level the surface using integral Waterproofing compound CICO NO.3 or approved equivalent in the ratio 1:1by weight.</v>
      </c>
      <c r="E1004" s="195"/>
      <c r="F1004" s="214"/>
      <c r="G1004" s="195"/>
    </row>
    <row r="1005" spans="1:9" s="278" customFormat="1" ht="72">
      <c r="A1005" s="168"/>
      <c r="B1005" s="169"/>
      <c r="C1005" s="195"/>
      <c r="D1005" s="351" t="str">
        <f>'BOQ-C&amp;I'!C218</f>
        <v xml:space="preserve">iv)The concrete slab  shall be thoroughly cleaned to remove debris and dust, and application of two coats not less than 2 mm thick of TAPECRETE - RTU Polymer Based Elastomeric Waterproof Coating over  well prepared surface </v>
      </c>
      <c r="E1005" s="195"/>
      <c r="F1005" s="214"/>
      <c r="G1005" s="195"/>
    </row>
    <row r="1006" spans="1:9" ht="18">
      <c r="A1006" s="168"/>
      <c r="B1006" s="169">
        <v>1</v>
      </c>
      <c r="C1006" s="170" t="s">
        <v>177</v>
      </c>
      <c r="D1006" s="277" t="s">
        <v>1876</v>
      </c>
      <c r="E1006" s="172">
        <f>'Comparison - Annexure 04'!K39</f>
        <v>975</v>
      </c>
      <c r="F1006" s="170" t="s">
        <v>177</v>
      </c>
      <c r="G1006" s="195">
        <f>E1006*B1006</f>
        <v>975</v>
      </c>
    </row>
    <row r="1007" spans="1:9" ht="18">
      <c r="A1007" s="168"/>
      <c r="B1007" s="169"/>
      <c r="C1007" s="170"/>
      <c r="D1007" s="272" t="s">
        <v>176</v>
      </c>
      <c r="E1007" s="170"/>
      <c r="F1007" s="170"/>
      <c r="G1007" s="171">
        <f>SUM(G1006:G1006)</f>
        <v>975</v>
      </c>
    </row>
    <row r="1008" spans="1:9" ht="18">
      <c r="A1008" s="168"/>
      <c r="B1008" s="169"/>
      <c r="C1008" s="170"/>
      <c r="D1008" s="272"/>
      <c r="E1008" s="170"/>
      <c r="F1008" s="170"/>
      <c r="G1008" s="171"/>
    </row>
    <row r="1009" spans="1:7" ht="54">
      <c r="A1009" s="168">
        <f>A1001+1</f>
        <v>63</v>
      </c>
      <c r="B1009" s="169"/>
      <c r="C1009" s="170"/>
      <c r="D1009" s="351" t="str">
        <f>'BOQ-C&amp;I'!C219</f>
        <v xml:space="preserve">Supply and laying water proofing treatment of internal walls Over head tanks, Water tanks etc.,   covering the following order and  consisting of following operations. </v>
      </c>
      <c r="E1009" s="170"/>
      <c r="F1009" s="170"/>
      <c r="G1009" s="171"/>
    </row>
    <row r="1010" spans="1:7" ht="72">
      <c r="A1010" s="168"/>
      <c r="B1010" s="169"/>
      <c r="C1010" s="170"/>
      <c r="D1010" s="351" t="str">
        <f>'BOQ-C&amp;I'!C220</f>
        <v>i)Supply and Fixing 75 mm long 18 mm dia GI nozzles in the hole of about half the depth of member size along  the construction joints, and honey comb areas at a spacing not more than 1m c/c.</v>
      </c>
      <c r="E1010" s="170"/>
      <c r="F1010" s="170"/>
      <c r="G1010" s="171"/>
    </row>
    <row r="1011" spans="1:7" ht="126">
      <c r="A1011" s="168"/>
      <c r="B1011" s="169"/>
      <c r="C1011" s="170"/>
      <c r="D1011" s="351" t="str">
        <f>'BOQ-C&amp;I'!C221</f>
        <v>ii) Applying injection grouting through the nozzles grouting pumps with a minimum pressure of 2 kg/sqcm with cement slurry admixed with CICO Non shrink Polymeric Water Proof Grouting Compound or approved equivalent at the rate of 2% by weight of cement .Grouting operations to be taken up after the concrete reached the full strength, i.e. 28 days  after casting of concrete.</v>
      </c>
      <c r="E1011" s="170"/>
      <c r="F1011" s="170"/>
      <c r="G1011" s="171"/>
    </row>
    <row r="1012" spans="1:7" ht="54">
      <c r="A1012" s="168"/>
      <c r="B1012" s="169"/>
      <c r="C1012" s="170"/>
      <c r="D1012" s="351" t="str">
        <f>'BOQ-C&amp;I'!C222</f>
        <v>iii) Sealing &amp;cutting of the nozzles and levelling the surface using integral Waterproofing compound CICO NO.3 or approved equivalent in the ratio 1:1by weight.</v>
      </c>
      <c r="E1012" s="170"/>
      <c r="F1012" s="170"/>
      <c r="G1012" s="171"/>
    </row>
    <row r="1013" spans="1:7" ht="72">
      <c r="A1013" s="168"/>
      <c r="B1013" s="169"/>
      <c r="C1013" s="170"/>
      <c r="D1013" s="351" t="str">
        <f>'BOQ-C&amp;I'!C223</f>
        <v xml:space="preserve">iv)The  wall surface shall be thoroughly cleaned to remove debris and dust, and application of two coats not less than 2 mm thick of  TAPECRETE - RTU Polymer Based Elastomeric Waterproof Coating over  well prepared surface </v>
      </c>
      <c r="E1013" s="170"/>
      <c r="F1013" s="170"/>
      <c r="G1013" s="171"/>
    </row>
    <row r="1014" spans="1:7" ht="18">
      <c r="A1014" s="168"/>
      <c r="B1014" s="169">
        <v>1</v>
      </c>
      <c r="C1014" s="170" t="s">
        <v>177</v>
      </c>
      <c r="D1014" s="277" t="s">
        <v>1876</v>
      </c>
      <c r="E1014" s="172">
        <f>'Comparison - Annexure 04'!K44</f>
        <v>975</v>
      </c>
      <c r="F1014" s="170" t="s">
        <v>177</v>
      </c>
      <c r="G1014" s="195">
        <f>E1014*B1014</f>
        <v>975</v>
      </c>
    </row>
    <row r="1015" spans="1:7" ht="18">
      <c r="A1015" s="168"/>
      <c r="B1015" s="169"/>
      <c r="C1015" s="170"/>
      <c r="D1015" s="272" t="s">
        <v>176</v>
      </c>
      <c r="E1015" s="170"/>
      <c r="F1015" s="170"/>
      <c r="G1015" s="171">
        <f>SUM(G1014:G1014)</f>
        <v>975</v>
      </c>
    </row>
    <row r="1016" spans="1:7" ht="18">
      <c r="A1016" s="168"/>
      <c r="B1016" s="169"/>
      <c r="C1016" s="170"/>
      <c r="D1016" s="272"/>
      <c r="E1016" s="170"/>
      <c r="F1016" s="170"/>
      <c r="G1016" s="171"/>
    </row>
    <row r="1017" spans="1:7" ht="54">
      <c r="A1017" s="168">
        <f>+A1009+1</f>
        <v>64</v>
      </c>
      <c r="B1017" s="169"/>
      <c r="C1017" s="170"/>
      <c r="D1017" s="273" t="str">
        <f>'BOQ-C&amp;I'!C224</f>
        <v>TERRACE    WATERPROOFING:Supply and laying water proofing treatment for terrace covering the following order and  consisting of following operations.</v>
      </c>
      <c r="E1017" s="170"/>
      <c r="F1017" s="170"/>
      <c r="G1017" s="171"/>
    </row>
    <row r="1018" spans="1:7" ht="54">
      <c r="A1018" s="168"/>
      <c r="B1018" s="169"/>
      <c r="C1018" s="170"/>
      <c r="D1018" s="273" t="str">
        <f>'BOQ-C&amp;I'!C225</f>
        <v>i) Making ' V ' grooves at the construction joints of size  20 x 20 mm and filling the "V" Groove with CICO No. 3 Quick Setting Waterproofing Compound admixed with cement.</v>
      </c>
      <c r="E1018" s="170"/>
      <c r="F1018" s="170"/>
      <c r="G1018" s="171"/>
    </row>
    <row r="1019" spans="1:7" ht="162">
      <c r="A1019" s="168"/>
      <c r="B1019" s="169"/>
      <c r="C1019" s="170"/>
      <c r="D1019" s="273" t="str">
        <f>'BOQ-C&amp;I'!C226</f>
        <v>ii) Supply and Fixing 18 mm dia GI nozzles  (the hole shall be  about half the depth of the member to be grouted and nozzle should be 50mm)  the retaining wall, along  construction joints, and honey comb areas at a spacing not more than 1m c/c . Nozzles (can also) shall be post fixed by drilling holes using  drill machine and to be fixed with cement putty admixed with quick setting integral Waterproofing compound CICO NO.3 or approved equivalent in the ratio 1:1by weight .</v>
      </c>
      <c r="E1019" s="170"/>
      <c r="F1019" s="170"/>
      <c r="G1019" s="171"/>
    </row>
    <row r="1020" spans="1:7" ht="126">
      <c r="A1020" s="168"/>
      <c r="B1020" s="169"/>
      <c r="C1020" s="170"/>
      <c r="D1020" s="273" t="str">
        <f>'BOQ-C&amp;I'!C227</f>
        <v>The roof slab / gutter slab  shall be thoroughly cleaned to remove debris and dust, and applying 2 coats not less than 2 mm of polymer based Elastomeric Coating like TAPECRETE - RTU compound and cured for 7 days  and followed by a layer of 20 mm thick cement mortar 1:3 admixed with CICO NO:1 (or) other approved equivalent make shall  be spread over the prepared surface</v>
      </c>
      <c r="E1020" s="170"/>
      <c r="F1020" s="170"/>
      <c r="G1020" s="171"/>
    </row>
    <row r="1021" spans="1:7" ht="144">
      <c r="A1021" s="168"/>
      <c r="B1021" s="169"/>
      <c r="C1021" s="170"/>
      <c r="D1021" s="273" t="str">
        <f>'BOQ-C&amp;I'!C228</f>
        <v xml:space="preserve">On the spread mortar provide and lay  well burnt brick bats (COBA) to a average minimum thickness of 55 mm (i.e.. minimum 40 mm thickness at lower end and 70 mm thickness at higher end).  An additional layer of brick bat (COBA) shall be laid over the existing brick bat COBA surface if required to get the required gradient for adequate drainage giving a slope of approximately 1 in 120, which will be measured separately under relevant  item. </v>
      </c>
      <c r="E1021" s="170"/>
      <c r="F1021" s="170"/>
      <c r="G1021" s="171"/>
    </row>
    <row r="1022" spans="1:7" ht="126">
      <c r="A1022" s="168"/>
      <c r="B1022" s="169"/>
      <c r="C1022" s="170"/>
      <c r="D1022" s="273" t="str">
        <f>'BOQ-C&amp;I'!C229</f>
        <v>The gap  between brick bat shall be filled with cement mortar 1:4 admixed with waterproofing compound like CICO NO:1 or approved equivalent afterwards curing shall be carried out for two days a final layer of cement mortar of 1:3 admixed with water proofing compound like CICO NO:1 or approved equivalent make shall be  laid   to  a  thickness of  20 mm and draw a false line of 300 mm x 300 mm.</v>
      </c>
      <c r="E1022" s="170"/>
      <c r="F1022" s="170"/>
      <c r="G1022" s="171"/>
    </row>
    <row r="1023" spans="1:7" ht="234">
      <c r="A1023" s="168"/>
      <c r="B1023" s="169"/>
      <c r="C1023" s="170"/>
      <c r="D1023" s="273" t="str">
        <f>'BOQ-C&amp;I'!C230</f>
        <v>The parapet side wall / gutter wall shall be thoroughly cleaned to remove all dust particles and a layer of 15 mm thick C.M 1:3 shall be laid to a height of about 300 mm above the top of the terrace/Gutter slab on the Parapet / Gutter side wall admixed with water proofing compound like the CICO NO:1  or approved equivalent make. Providing, supplying, mixing, applying two coats of ready to use two component Acrylic polymer modified cement based, flexible, water proofing slurry like or approved equivalent to a thickness of 2 mm over the plastered surface of operation as per manufacturer's specification and as directed. (Plan area of Terrace only will be measured for payment )</v>
      </c>
      <c r="E1023" s="170"/>
      <c r="F1023" s="170"/>
      <c r="G1023" s="171"/>
    </row>
    <row r="1024" spans="1:7" ht="18">
      <c r="A1024" s="168"/>
      <c r="B1024" s="169">
        <v>1</v>
      </c>
      <c r="C1024" s="170" t="s">
        <v>177</v>
      </c>
      <c r="D1024" s="277" t="s">
        <v>1876</v>
      </c>
      <c r="E1024" s="172">
        <f>'Comparison - Annexure 04'!K52</f>
        <v>2250</v>
      </c>
      <c r="F1024" s="170" t="s">
        <v>177</v>
      </c>
      <c r="G1024" s="195">
        <f>E1024*B1024</f>
        <v>2250</v>
      </c>
    </row>
    <row r="1025" spans="1:7" ht="18">
      <c r="A1025" s="168"/>
      <c r="B1025" s="169"/>
      <c r="C1025" s="170"/>
      <c r="D1025" s="272" t="s">
        <v>176</v>
      </c>
      <c r="E1025" s="170"/>
      <c r="F1025" s="170"/>
      <c r="G1025" s="171">
        <f>SUM(G1024:G1024)</f>
        <v>2250</v>
      </c>
    </row>
    <row r="1026" spans="1:7" s="278" customFormat="1" ht="252">
      <c r="A1026" s="168">
        <f>A1017+1</f>
        <v>65</v>
      </c>
      <c r="B1026" s="169"/>
      <c r="C1026" s="195"/>
      <c r="D1026" s="273" t="str">
        <f>'BOQ-C&amp;I'!C231</f>
        <v>Supply installation and finishing of the Terrace floor with one course of Thermatek tiles of size 300x300x19mm laid on top. Cost of Thermotech tiles set in 20mm thick C.M.1:4 and pointing with approved make epoxy grout of to matching colour shade as per Manufacturer's Specification and as directed. Rate shall include wastages, for preparation of base surface, cleaning, acid wash, and finished surface, at all levels and as directed. Rate shall be inclusive of wastages,  cost of all materials, labour charges for lifting to open terrace, laying and finishing and other incidental charges etc., complete and as directed by the departmental officers. (The Brand and quality of tiles should be got approved from the Executive Engineer before using)</v>
      </c>
      <c r="E1026" s="195"/>
      <c r="F1026" s="214"/>
      <c r="G1026" s="195"/>
    </row>
    <row r="1027" spans="1:7" s="278" customFormat="1" ht="18">
      <c r="A1027" s="168"/>
      <c r="B1027" s="169">
        <v>1</v>
      </c>
      <c r="C1027" s="170" t="s">
        <v>177</v>
      </c>
      <c r="D1027" s="277" t="s">
        <v>1876</v>
      </c>
      <c r="E1027" s="172">
        <f>'Comparison - Annexure 04'!K80</f>
        <v>1950</v>
      </c>
      <c r="F1027" s="170" t="s">
        <v>177</v>
      </c>
      <c r="G1027" s="195">
        <f>E1027*B1027</f>
        <v>1950</v>
      </c>
    </row>
    <row r="1028" spans="1:7" s="278" customFormat="1" ht="18">
      <c r="A1028" s="168"/>
      <c r="B1028" s="302"/>
      <c r="C1028" s="298"/>
      <c r="D1028" s="395"/>
      <c r="E1028" s="397"/>
      <c r="F1028" s="396"/>
      <c r="G1028" s="193"/>
    </row>
    <row r="1029" spans="1:7" ht="18">
      <c r="A1029" s="168"/>
      <c r="B1029" s="169"/>
      <c r="C1029" s="271"/>
      <c r="D1029" s="353" t="s">
        <v>78</v>
      </c>
      <c r="E1029" s="195"/>
      <c r="F1029" s="271"/>
      <c r="G1029" s="195"/>
    </row>
    <row r="1030" spans="1:7" ht="180">
      <c r="A1030" s="168">
        <f>A1026+1</f>
        <v>66</v>
      </c>
      <c r="B1030" s="169"/>
      <c r="C1030" s="271"/>
      <c r="D1030" s="273" t="str">
        <f>'BOQ-C&amp;I'!C234</f>
        <v>Supplying and fixing Poly-propylene rungs of 25 mm square bar of size 260 x 170 mm for access way including anchorage in walls to a minimum depth of 100 mm with C.C 1:2:4 (one cement, two fine aggregate and four coarse aggregate) etc. complete and as directed by the   departmental officers.( Duct ,Shafts &amp; UG sump, Over Head Tank and wherever necessary) Note: Rungs to be fixed before concreting and necessary provision to be made in the shuttering. etc complete, as directed by the   departmental officers.</v>
      </c>
      <c r="E1030" s="195"/>
      <c r="F1030" s="271"/>
      <c r="G1030" s="195"/>
    </row>
    <row r="1031" spans="1:7" ht="18">
      <c r="A1031" s="168"/>
      <c r="B1031" s="169">
        <v>1</v>
      </c>
      <c r="C1031" s="271" t="s">
        <v>2</v>
      </c>
      <c r="D1031" s="223" t="s">
        <v>747</v>
      </c>
      <c r="E1031" s="195">
        <f>Material!D36</f>
        <v>230.2</v>
      </c>
      <c r="F1031" s="271" t="s">
        <v>165</v>
      </c>
      <c r="G1031" s="195">
        <f>B1031*E1031</f>
        <v>230.2</v>
      </c>
    </row>
    <row r="1032" spans="1:7" ht="18">
      <c r="A1032" s="168"/>
      <c r="B1032" s="169">
        <v>1</v>
      </c>
      <c r="C1032" s="271" t="s">
        <v>2</v>
      </c>
      <c r="D1032" s="223" t="s">
        <v>175</v>
      </c>
      <c r="E1032" s="195">
        <v>14</v>
      </c>
      <c r="F1032" s="271" t="s">
        <v>165</v>
      </c>
      <c r="G1032" s="195">
        <f>B1032*E1032</f>
        <v>14</v>
      </c>
    </row>
    <row r="1033" spans="1:7" ht="18">
      <c r="A1033" s="168"/>
      <c r="B1033" s="169"/>
      <c r="C1033" s="271"/>
      <c r="D1033" s="164" t="s">
        <v>174</v>
      </c>
      <c r="E1033" s="171"/>
      <c r="F1033" s="271"/>
      <c r="G1033" s="171">
        <f>SUM(G1031:G1032)</f>
        <v>244.2</v>
      </c>
    </row>
    <row r="1034" spans="1:7" ht="18">
      <c r="A1034" s="168"/>
      <c r="B1034" s="169"/>
      <c r="C1034" s="271"/>
      <c r="D1034" s="223"/>
      <c r="E1034" s="195"/>
      <c r="F1034" s="271"/>
      <c r="G1034" s="195"/>
    </row>
    <row r="1035" spans="1:7" ht="162">
      <c r="A1035" s="168">
        <f>A1030+1</f>
        <v>67</v>
      </c>
      <c r="B1035" s="169"/>
      <c r="C1035" s="195"/>
      <c r="D1035" s="273" t="str">
        <f>'BOQ-C&amp;I'!C235</f>
        <v>Supplying and fixing Ductile Iron manhole cover with frame as per approved make ,cover weight and being size mentioned below and specified size in the drawing etc., including painting with two coats of anticorrosive paint over a coat of primer etc., fixing locking arrangements, fixing Man-hole over, grouting the anchors with CC 1:2:4 (one cement, two fine aggregate and four coarse aggregate), as complete in all respects complying with relevant standard specifications and as directed by the   departmental officers.</v>
      </c>
      <c r="E1035" s="195"/>
      <c r="F1035" s="214"/>
      <c r="G1035" s="195"/>
    </row>
    <row r="1036" spans="1:7" ht="36">
      <c r="A1036" s="168" t="s">
        <v>71</v>
      </c>
      <c r="B1036" s="169"/>
      <c r="C1036" s="271"/>
      <c r="D1036" s="273" t="str">
        <f>'BOQ-C&amp;I'!C236</f>
        <v xml:space="preserve">Manhole Cover 60 x 60cm (Heavy Duty) with Frame (O.H Tanks) </v>
      </c>
      <c r="E1036" s="195"/>
      <c r="F1036" s="271"/>
      <c r="G1036" s="195"/>
    </row>
    <row r="1037" spans="1:7" ht="18">
      <c r="A1037" s="168"/>
      <c r="B1037" s="169">
        <v>1</v>
      </c>
      <c r="C1037" s="271" t="s">
        <v>2</v>
      </c>
      <c r="D1037" s="223" t="s">
        <v>743</v>
      </c>
      <c r="E1037" s="195">
        <f>Material!D34</f>
        <v>1864</v>
      </c>
      <c r="F1037" s="271" t="s">
        <v>165</v>
      </c>
      <c r="G1037" s="171">
        <f>B1037*E1037</f>
        <v>1864</v>
      </c>
    </row>
    <row r="1038" spans="1:7" ht="18">
      <c r="A1038" s="168"/>
      <c r="B1038" s="169"/>
      <c r="C1038" s="271"/>
      <c r="D1038" s="223"/>
      <c r="E1038" s="195"/>
      <c r="F1038" s="271"/>
      <c r="G1038" s="195"/>
    </row>
    <row r="1039" spans="1:7" ht="108">
      <c r="A1039" s="168">
        <f>A1035+1</f>
        <v>68</v>
      </c>
      <c r="B1039" s="169"/>
      <c r="C1039" s="271"/>
      <c r="D1039" s="273" t="str">
        <f>'BOQ-C&amp;I'!C237</f>
        <v>Providing and laying in position the RCC  humepipes(NP3) of approved quality and make including collars,. necessary Excavation, PCC 1:2:4 supports, Sand cushion of 150mm on all sides, Refilling with earth, Compaction and making good the level, alignment etc., complete as directed by the   departmental officers.</v>
      </c>
      <c r="E1039" s="195"/>
      <c r="F1039" s="271"/>
      <c r="G1039" s="195"/>
    </row>
    <row r="1040" spans="1:7" ht="36">
      <c r="A1040" s="168" t="s">
        <v>71</v>
      </c>
      <c r="B1040" s="409"/>
      <c r="C1040" s="410"/>
      <c r="D1040" s="273" t="s">
        <v>523</v>
      </c>
      <c r="E1040" s="195"/>
      <c r="F1040" s="271"/>
      <c r="G1040" s="195"/>
    </row>
    <row r="1041" spans="1:7" ht="18">
      <c r="A1041" s="168"/>
      <c r="B1041" s="169">
        <v>1</v>
      </c>
      <c r="C1041" s="271" t="s">
        <v>2</v>
      </c>
      <c r="D1041" s="406" t="s">
        <v>173</v>
      </c>
      <c r="E1041" s="195">
        <f>Material!D35</f>
        <v>2250</v>
      </c>
      <c r="F1041" s="271" t="s">
        <v>33</v>
      </c>
      <c r="G1041" s="171">
        <f>B1041*E1041</f>
        <v>2250</v>
      </c>
    </row>
    <row r="1042" spans="1:7" ht="18">
      <c r="A1042" s="168"/>
      <c r="B1042" s="168"/>
      <c r="C1042" s="168"/>
      <c r="D1042" s="280" t="s">
        <v>172</v>
      </c>
      <c r="E1042" s="195"/>
      <c r="F1042" s="271"/>
      <c r="G1042" s="195"/>
    </row>
    <row r="1043" spans="1:7" ht="18">
      <c r="A1043" s="168"/>
      <c r="B1043" s="168"/>
      <c r="C1043" s="168"/>
      <c r="D1043" s="280"/>
      <c r="E1043" s="195"/>
      <c r="F1043" s="271"/>
      <c r="G1043" s="195"/>
    </row>
    <row r="1044" spans="1:7" ht="18">
      <c r="A1044" s="168"/>
      <c r="B1044" s="168">
        <v>0.5</v>
      </c>
      <c r="C1044" s="168" t="s">
        <v>2</v>
      </c>
      <c r="D1044" s="406" t="s">
        <v>171</v>
      </c>
      <c r="E1044" s="195">
        <f>Labour!E10</f>
        <v>821</v>
      </c>
      <c r="F1044" s="271" t="s">
        <v>165</v>
      </c>
      <c r="G1044" s="195">
        <f>B1044*E1044</f>
        <v>410.5</v>
      </c>
    </row>
    <row r="1045" spans="1:7" ht="18">
      <c r="A1045" s="168"/>
      <c r="B1045" s="168">
        <v>0.5</v>
      </c>
      <c r="C1045" s="168" t="s">
        <v>2</v>
      </c>
      <c r="D1045" s="406" t="s">
        <v>170</v>
      </c>
      <c r="E1045" s="195">
        <f>Labour!E6</f>
        <v>618</v>
      </c>
      <c r="F1045" s="271" t="s">
        <v>165</v>
      </c>
      <c r="G1045" s="195">
        <f>B1044*E1045</f>
        <v>309</v>
      </c>
    </row>
    <row r="1046" spans="1:7" ht="18">
      <c r="A1046" s="168"/>
      <c r="B1046" s="168">
        <v>0.8</v>
      </c>
      <c r="C1046" s="168" t="s">
        <v>2</v>
      </c>
      <c r="D1046" s="406" t="s">
        <v>169</v>
      </c>
      <c r="E1046" s="195">
        <f>Labour!E7</f>
        <v>507</v>
      </c>
      <c r="F1046" s="271" t="s">
        <v>165</v>
      </c>
      <c r="G1046" s="195">
        <f>B1046*E1046</f>
        <v>405.6</v>
      </c>
    </row>
    <row r="1047" spans="1:7" ht="18">
      <c r="A1047" s="168"/>
      <c r="B1047" s="168"/>
      <c r="C1047" s="168"/>
      <c r="D1047" s="406"/>
      <c r="E1047" s="195"/>
      <c r="F1047" s="271"/>
      <c r="G1047" s="171">
        <f>SUM(G1044:G1046)/10</f>
        <v>112.50999999999999</v>
      </c>
    </row>
    <row r="1048" spans="1:7" ht="18">
      <c r="A1048" s="168"/>
      <c r="B1048" s="169"/>
      <c r="C1048" s="271"/>
      <c r="D1048" s="406" t="s">
        <v>168</v>
      </c>
      <c r="E1048" s="195"/>
      <c r="F1048" s="271"/>
      <c r="G1048" s="195"/>
    </row>
    <row r="1049" spans="1:7" ht="18">
      <c r="A1049" s="168"/>
      <c r="B1049" s="169"/>
      <c r="C1049" s="271"/>
      <c r="D1049" s="406" t="s">
        <v>167</v>
      </c>
      <c r="E1049" s="195">
        <v>100</v>
      </c>
      <c r="F1049" s="271" t="s">
        <v>165</v>
      </c>
      <c r="G1049" s="195">
        <v>100</v>
      </c>
    </row>
    <row r="1050" spans="1:7" ht="18">
      <c r="A1050" s="168"/>
      <c r="B1050" s="169"/>
      <c r="C1050" s="271"/>
      <c r="D1050" s="406" t="s">
        <v>154</v>
      </c>
      <c r="E1050" s="195"/>
      <c r="F1050" s="271"/>
      <c r="G1050" s="195">
        <v>0.65</v>
      </c>
    </row>
    <row r="1051" spans="1:7" ht="18">
      <c r="A1051" s="168"/>
      <c r="B1051" s="169"/>
      <c r="C1051" s="271"/>
      <c r="D1051" s="411" t="s">
        <v>166</v>
      </c>
      <c r="E1051" s="195"/>
      <c r="F1051" s="271"/>
      <c r="G1051" s="171">
        <f>G1049+G1050+G1047+G1041</f>
        <v>2463.16</v>
      </c>
    </row>
    <row r="1052" spans="1:7" ht="90">
      <c r="A1052" s="168">
        <f>A1039+1</f>
        <v>69</v>
      </c>
      <c r="B1052" s="169"/>
      <c r="C1052" s="271"/>
      <c r="D1052" s="273" t="str">
        <f>'BOQ-C&amp;I'!C239</f>
        <v xml:space="preserve">Special Type Mirror of size 1000 x 780mm Rate to including all materials, labour charges, transportation, lead &amp; Lifts, wastage,  etc. as complete with all respects complying with relevant standard specification, as directed by the departmental officers. </v>
      </c>
      <c r="E1052" s="195"/>
      <c r="F1052" s="271"/>
      <c r="G1052" s="195"/>
    </row>
    <row r="1053" spans="1:7" ht="36">
      <c r="A1053" s="168"/>
      <c r="B1053" s="169">
        <v>1</v>
      </c>
      <c r="C1053" s="271" t="s">
        <v>165</v>
      </c>
      <c r="D1053" s="223" t="s">
        <v>755</v>
      </c>
      <c r="E1053" s="195">
        <f>Material!D37</f>
        <v>2575</v>
      </c>
      <c r="F1053" s="271" t="s">
        <v>165</v>
      </c>
      <c r="G1053" s="195">
        <f>B1053*E1053</f>
        <v>2575</v>
      </c>
    </row>
    <row r="1054" spans="1:7" ht="18">
      <c r="A1054" s="168"/>
      <c r="B1054" s="169"/>
      <c r="C1054" s="271"/>
      <c r="D1054" s="164" t="s">
        <v>174</v>
      </c>
      <c r="E1054" s="195"/>
      <c r="F1054" s="271"/>
      <c r="G1054" s="171">
        <f>SUM(G1053:G1053)</f>
        <v>2575</v>
      </c>
    </row>
    <row r="1055" spans="1:7" ht="18">
      <c r="A1055" s="168"/>
      <c r="B1055" s="169"/>
      <c r="C1055" s="271"/>
      <c r="D1055" s="164"/>
      <c r="E1055" s="195"/>
      <c r="F1055" s="271"/>
      <c r="G1055" s="195"/>
    </row>
    <row r="1056" spans="1:7" ht="234">
      <c r="A1056" s="168">
        <f>A1052+1</f>
        <v>70</v>
      </c>
      <c r="B1056" s="169"/>
      <c r="C1056" s="271"/>
      <c r="D1056" s="273" t="str">
        <f>'BOQ-C&amp;I'!C240</f>
        <v>STRUCTURAL STEEL WORKS:Supplying fabricating, hoisting, erecting and fixing in position Mild steel structural steel works Gate for compound wall and grill at all elevations, levels and heights including aligning, levelling, providing and fixing bolts, nuts, washers, comprising MS plates, flats, squares etc., of various sizes and other structural steel sections conforming to latest IS2062 Grade - A&amp;B including straightening, cutting, welding, bending to shape, bolting and inclusive of the following finishes. Rate to including all materials, labour changes, scaffolding, stagging,  transportation, lead &amp; Lifts, wastage, etc. as complete with all respects complying with relevant standard specification, as directed by the   departmental officers.</v>
      </c>
      <c r="E1056" s="195"/>
      <c r="F1056" s="271"/>
      <c r="G1056" s="195"/>
    </row>
    <row r="1057" spans="1:8" ht="216">
      <c r="A1057" s="356"/>
      <c r="B1057" s="169"/>
      <c r="C1057" s="271"/>
      <c r="D1057" s="273" t="str">
        <f>'BOQ-C&amp;I'!C241</f>
        <v>Surface preparation of all MS members by Sand blasting to SA 21/2 grade and painted with anti corrosive, PU paint (metallic finish) with compatible primer to a minimum film thickness of 75 microns and 2 coats of PU paint of and total dry film thickness 225 microns. The rate to include the cost of all materials, labour, tools, tackle and plants, wastage etc., as per specification and drawings complete. The rate quoted is to include cost of bolts, nuts, washers, welding, electrodes and connections required for the work. No extra on this account will be paid for. The rate to include preparation of fabrication shop drawings for owner's approval.</v>
      </c>
      <c r="E1057" s="195"/>
      <c r="F1057" s="271"/>
      <c r="G1057" s="195"/>
    </row>
    <row r="1058" spans="1:8" ht="18">
      <c r="A1058" s="168"/>
      <c r="B1058" s="169">
        <v>1</v>
      </c>
      <c r="C1058" s="271" t="s">
        <v>162</v>
      </c>
      <c r="D1058" s="223" t="s">
        <v>164</v>
      </c>
      <c r="E1058" s="195">
        <f>G637</f>
        <v>123.75</v>
      </c>
      <c r="F1058" s="271" t="s">
        <v>162</v>
      </c>
      <c r="G1058" s="171">
        <f>B1058*E1058</f>
        <v>123.75</v>
      </c>
    </row>
    <row r="1059" spans="1:8" ht="18">
      <c r="A1059" s="168"/>
      <c r="B1059" s="169"/>
      <c r="C1059" s="271"/>
      <c r="D1059" s="223"/>
      <c r="E1059" s="195"/>
      <c r="F1059" s="271"/>
      <c r="G1059" s="195"/>
    </row>
    <row r="1060" spans="1:8" ht="306">
      <c r="A1060" s="168">
        <f>A1056+1</f>
        <v>71</v>
      </c>
      <c r="B1060" s="169"/>
      <c r="C1060" s="271"/>
      <c r="D1060" s="273" t="str">
        <f>'BOQ-C&amp;I'!C243</f>
        <v>Designing, Providing and fixing in position Hot rolled structural steel Members / Sections consists of MS joists, channels, angles, purlins, pipes, hollow tubes, runners, insert plates, flats etc. at all levels. Surface preparation of all MS members by Sand blasting to SA 21/2 grade and painted with anti corrosive, PU paint (metallic finish) with compatible primer to a minimum film thickness of 75 microns and 2 coats of PU paint of and total dry film thickness 225 microns. Rate to including all materials, labour charges, scaffolding, stagging,  transportation, lead &amp; Lifts, wastage, cost of bolts, nuts, washers, welding, electrodes and connections required for the work. No extra on this account will be paid for, and the rate to include preparation of fabrication shop drawings for client's approval.  etc., as complete with all respects complying with relevant standard specification, as directed by the   departmental officers.</v>
      </c>
      <c r="E1060" s="195"/>
      <c r="F1060" s="271"/>
      <c r="G1060" s="195"/>
    </row>
    <row r="1061" spans="1:8" s="390" customFormat="1" ht="18">
      <c r="A1061" s="168"/>
      <c r="B1061" s="177">
        <v>1</v>
      </c>
      <c r="C1061" s="174" t="s">
        <v>162</v>
      </c>
      <c r="D1061" s="178" t="s">
        <v>748</v>
      </c>
      <c r="E1061" s="192">
        <f>Material!D17</f>
        <v>53</v>
      </c>
      <c r="F1061" s="174" t="s">
        <v>162</v>
      </c>
      <c r="G1061" s="291">
        <f>+E1061*B1061</f>
        <v>53</v>
      </c>
    </row>
    <row r="1062" spans="1:8" s="390" customFormat="1" ht="18">
      <c r="A1062" s="168"/>
      <c r="B1062" s="177">
        <v>1</v>
      </c>
      <c r="C1062" s="174" t="s">
        <v>162</v>
      </c>
      <c r="D1062" s="178" t="s">
        <v>562</v>
      </c>
      <c r="E1062" s="192">
        <f>Labour!E46</f>
        <v>52.5</v>
      </c>
      <c r="F1062" s="174" t="s">
        <v>162</v>
      </c>
      <c r="G1062" s="291">
        <f>+E1062*B1062</f>
        <v>52.5</v>
      </c>
    </row>
    <row r="1063" spans="1:8" s="390" customFormat="1" ht="18">
      <c r="A1063" s="168"/>
      <c r="B1063" s="177"/>
      <c r="C1063" s="174" t="s">
        <v>159</v>
      </c>
      <c r="D1063" s="178" t="s">
        <v>161</v>
      </c>
      <c r="E1063" s="194"/>
      <c r="F1063" s="174" t="s">
        <v>159</v>
      </c>
      <c r="G1063" s="291">
        <v>9</v>
      </c>
    </row>
    <row r="1064" spans="1:8" s="390" customFormat="1" ht="18">
      <c r="A1064" s="168"/>
      <c r="B1064" s="177"/>
      <c r="C1064" s="174"/>
      <c r="D1064" s="178" t="s">
        <v>160</v>
      </c>
      <c r="E1064" s="194"/>
      <c r="F1064" s="174" t="s">
        <v>159</v>
      </c>
      <c r="G1064" s="291">
        <v>9.25</v>
      </c>
    </row>
    <row r="1065" spans="1:8" s="390" customFormat="1" ht="18">
      <c r="A1065" s="168"/>
      <c r="B1065" s="177"/>
      <c r="C1065" s="174"/>
      <c r="D1065" s="286" t="s">
        <v>158</v>
      </c>
      <c r="E1065" s="194"/>
      <c r="F1065" s="174"/>
      <c r="G1065" s="171">
        <f>SUM(G1061:G1064)</f>
        <v>123.75</v>
      </c>
      <c r="H1065" s="391"/>
    </row>
    <row r="1066" spans="1:8" ht="18">
      <c r="A1066" s="168"/>
      <c r="B1066" s="169"/>
      <c r="C1066" s="271"/>
      <c r="D1066" s="273"/>
      <c r="E1066" s="195"/>
      <c r="F1066" s="271"/>
      <c r="G1066" s="195"/>
    </row>
    <row r="1067" spans="1:8" ht="324">
      <c r="A1067" s="168">
        <f>A1060+1</f>
        <v>72</v>
      </c>
      <c r="B1067" s="169"/>
      <c r="C1067" s="271"/>
      <c r="D1067" s="273" t="str">
        <f>'BOQ-C&amp;I'!C244</f>
        <v xml:space="preserve">Supplying, fabricating and placing in position M.S. chequered plate of required thickness of 5 mm for machine floors and shafts closing at all floors at all levels with necessary supports such as M.S. angles/M.S. flats including stiffeners to be placed on angle iron frame work. (Frame work, angles, stiffeners will be measured under relevant structural steel item). Rate shall include making necessary cutouts for inserts, All MS members shall be painted with 2 Coats (each coat of 25 microns DFT) of red oxide zinc phosphate primer and 2 Coats (each coat of 35 microns DFT) of synthetic enamel paint of approved colour and make etc,.Rate including all materials, labour charges, wastages, necessary lead and lifts, transportation charges, loading, unloading, scaffolding, staging, straightening, cutting, fabricating, welding, bending to shape bolting, installation charges, fuel, consumables as complete with all respects complying with relevant standard specification and as directed by the departmental officers. </v>
      </c>
      <c r="E1067" s="195"/>
      <c r="F1067" s="271"/>
      <c r="G1067" s="195"/>
    </row>
    <row r="1068" spans="1:8" s="390" customFormat="1" ht="36">
      <c r="A1068" s="412"/>
      <c r="B1068" s="177">
        <v>1.03</v>
      </c>
      <c r="C1068" s="174" t="s">
        <v>162</v>
      </c>
      <c r="D1068" s="178" t="s">
        <v>750</v>
      </c>
      <c r="E1068" s="192">
        <f>Material!D17</f>
        <v>53</v>
      </c>
      <c r="F1068" s="174" t="s">
        <v>162</v>
      </c>
      <c r="G1068" s="291">
        <f>+E1068*B1068</f>
        <v>54.59</v>
      </c>
    </row>
    <row r="1069" spans="1:8" s="390" customFormat="1" ht="36">
      <c r="A1069" s="412"/>
      <c r="B1069" s="177">
        <v>1</v>
      </c>
      <c r="C1069" s="174" t="s">
        <v>162</v>
      </c>
      <c r="D1069" s="178" t="s">
        <v>563</v>
      </c>
      <c r="E1069" s="192">
        <f>Labour!E47</f>
        <v>48.5</v>
      </c>
      <c r="F1069" s="174" t="s">
        <v>162</v>
      </c>
      <c r="G1069" s="291">
        <f>+E1069*B1069</f>
        <v>48.5</v>
      </c>
    </row>
    <row r="1070" spans="1:8" s="390" customFormat="1" ht="76.5" customHeight="1">
      <c r="A1070" s="412"/>
      <c r="B1070" s="177">
        <f>2.1/45.3</f>
        <v>4.6357615894039743E-2</v>
      </c>
      <c r="C1070" s="174" t="s">
        <v>177</v>
      </c>
      <c r="D1070" s="178" t="s">
        <v>561</v>
      </c>
      <c r="E1070" s="192">
        <v>182.04454372500001</v>
      </c>
      <c r="F1070" s="174" t="s">
        <v>177</v>
      </c>
      <c r="G1070" s="291">
        <f>+E1070*B1070</f>
        <v>8.4391510336092743</v>
      </c>
    </row>
    <row r="1071" spans="1:8" s="390" customFormat="1" ht="18">
      <c r="A1071" s="412"/>
      <c r="B1071" s="177"/>
      <c r="C1071" s="174"/>
      <c r="D1071" s="178" t="s">
        <v>160</v>
      </c>
      <c r="E1071" s="194"/>
      <c r="F1071" s="174" t="s">
        <v>159</v>
      </c>
      <c r="G1071" s="291">
        <v>4.62</v>
      </c>
    </row>
    <row r="1072" spans="1:8" s="390" customFormat="1" ht="18">
      <c r="A1072" s="412"/>
      <c r="B1072" s="177"/>
      <c r="C1072" s="174"/>
      <c r="D1072" s="286" t="s">
        <v>158</v>
      </c>
      <c r="E1072" s="194"/>
      <c r="F1072" s="174"/>
      <c r="G1072" s="171">
        <f>SUM(G1068:G1071)</f>
        <v>116.14915103360929</v>
      </c>
    </row>
    <row r="1073" spans="1:7" ht="18">
      <c r="A1073" s="168"/>
      <c r="B1073" s="169"/>
      <c r="C1073" s="271"/>
      <c r="D1073" s="223"/>
      <c r="E1073" s="195"/>
      <c r="F1073" s="271"/>
      <c r="G1073" s="195"/>
    </row>
    <row r="1074" spans="1:7" ht="126">
      <c r="A1074" s="168">
        <f>A1067+1</f>
        <v>73</v>
      </c>
      <c r="B1074" s="169"/>
      <c r="C1074" s="170"/>
      <c r="D1074" s="273" t="str">
        <f>'BOQ-C&amp;I'!C245</f>
        <v xml:space="preserve">Supplying and filling 40 mm and down aggregate filling under drains. Rate to include shuttering, including all materials, labour charges, transportation, lead &amp; Lifts, curing, with necessary excavation and back filling complete etc. as complete with all respects complying with relevant standard specification, as directed by the departmental officers. </v>
      </c>
      <c r="E1074" s="170"/>
      <c r="F1074" s="170"/>
      <c r="G1074" s="267"/>
    </row>
    <row r="1075" spans="1:7" ht="18">
      <c r="A1075" s="168"/>
      <c r="B1075" s="169">
        <v>1</v>
      </c>
      <c r="C1075" s="170" t="s">
        <v>155</v>
      </c>
      <c r="D1075" s="277" t="s">
        <v>157</v>
      </c>
      <c r="E1075" s="172">
        <f>'Lead Statement'!I10</f>
        <v>1188.08</v>
      </c>
      <c r="F1075" s="170" t="s">
        <v>155</v>
      </c>
      <c r="G1075" s="195">
        <f>B1075*E1075</f>
        <v>1188.08</v>
      </c>
    </row>
    <row r="1076" spans="1:7" ht="36">
      <c r="A1076" s="168"/>
      <c r="B1076" s="169">
        <v>1</v>
      </c>
      <c r="C1076" s="170" t="s">
        <v>155</v>
      </c>
      <c r="D1076" s="277" t="s">
        <v>156</v>
      </c>
      <c r="E1076" s="172">
        <v>75</v>
      </c>
      <c r="F1076" s="170" t="s">
        <v>155</v>
      </c>
      <c r="G1076" s="195">
        <f>B1076*E1076</f>
        <v>75</v>
      </c>
    </row>
    <row r="1077" spans="1:7" ht="18">
      <c r="A1077" s="168"/>
      <c r="B1077" s="169"/>
      <c r="C1077" s="170"/>
      <c r="D1077" s="277" t="s">
        <v>154</v>
      </c>
      <c r="E1077" s="170"/>
      <c r="F1077" s="170"/>
      <c r="G1077" s="232">
        <v>0.86</v>
      </c>
    </row>
    <row r="1078" spans="1:7" ht="18">
      <c r="A1078" s="168"/>
      <c r="B1078" s="169"/>
      <c r="C1078" s="170"/>
      <c r="D1078" s="272" t="s">
        <v>153</v>
      </c>
      <c r="E1078" s="170"/>
      <c r="F1078" s="170"/>
      <c r="G1078" s="267">
        <f>SUM(G1075:G1077)</f>
        <v>1263.9399999999998</v>
      </c>
    </row>
    <row r="1079" spans="1:7" ht="18">
      <c r="A1079" s="168"/>
      <c r="B1079" s="227"/>
      <c r="C1079" s="222"/>
      <c r="D1079" s="178"/>
      <c r="E1079" s="172"/>
      <c r="F1079" s="222"/>
      <c r="G1079" s="228"/>
    </row>
    <row r="1080" spans="1:7" ht="18">
      <c r="A1080" s="168"/>
      <c r="B1080" s="169"/>
      <c r="C1080" s="170"/>
      <c r="D1080" s="272" t="str">
        <f>'BOQ-C&amp;I'!C247</f>
        <v>Partition &amp; Panelling Works</v>
      </c>
      <c r="E1080" s="170"/>
      <c r="F1080" s="170"/>
      <c r="G1080" s="267"/>
    </row>
    <row r="1081" spans="1:7" ht="36">
      <c r="A1081" s="168">
        <f>A1074+1</f>
        <v>74</v>
      </c>
      <c r="B1081" s="169"/>
      <c r="C1081" s="170"/>
      <c r="D1081" s="277" t="str">
        <f>'BOQ-C&amp;I'!C248</f>
        <v>ALUMINIUM GLAZED STILE DOOR WITH ALTERRALITE SYSTEM-100 FRAME PROFILES</v>
      </c>
      <c r="E1081" s="170"/>
      <c r="F1081" s="168"/>
      <c r="G1081" s="267"/>
    </row>
    <row r="1082" spans="1:7" ht="324">
      <c r="A1082" s="168" t="s">
        <v>71</v>
      </c>
      <c r="B1082" s="169"/>
      <c r="C1082" s="170"/>
      <c r="D1082" s="277" t="str">
        <f>'BOQ-C&amp;I'!C249</f>
        <v>Supply &amp; Fixing of Aluminium Glazed Door Single Leaf with Glass infill of 12mm thk toughened glass with Dormakaba Alterra lite System-100mm frames Stiles all around the door. Aluminium Stile to be formed out of 100x45mm of Alterra STP100 Door Profile frame with clips &amp; seals. For doors part of single/double glazed partiton DP100-SG/DG Door rebate profile to be used.In case of Glass overall panel Alterra lite OHPDP100-SD/DG Over Panel Door profile to be used.The Alterra lite profiles shall be suitable for Glass thickness of 12mm. The Profile shall be matt natural anodized, the Profile Manufacturer to supply all the necessary clips, seals and fixing accessories for the system. All Profiles to be with 2 mm Gauge thickness Excluding 20 Micron of Anodizing.Approved Manufacturer: Profiles/Frames: Dormakaba, Glass : Saint Giobain/AsahiWidth 1000mm x Height 2400mm.                     NOTE: Hardware will be measured seperately and paid under relevant BOQ items.</v>
      </c>
      <c r="E1082" s="170"/>
      <c r="F1082" s="168"/>
      <c r="G1082" s="267"/>
    </row>
    <row r="1083" spans="1:7" ht="18">
      <c r="A1083" s="168"/>
      <c r="B1083" s="169">
        <v>1</v>
      </c>
      <c r="C1083" s="170" t="s">
        <v>51</v>
      </c>
      <c r="D1083" s="277" t="s">
        <v>1878</v>
      </c>
      <c r="E1083" s="172">
        <f>'Comparison - Annexure 03'!K7</f>
        <v>70000</v>
      </c>
      <c r="F1083" s="168" t="s">
        <v>51</v>
      </c>
      <c r="G1083" s="195">
        <f>B1083*E1083</f>
        <v>70000</v>
      </c>
    </row>
    <row r="1084" spans="1:7" ht="36">
      <c r="A1084" s="168"/>
      <c r="B1084" s="169"/>
      <c r="C1084" s="170"/>
      <c r="D1084" s="277" t="str">
        <f>'BOQ-C&amp;I'!C250</f>
        <v>SINGLE GLAZED TOUGHENED GLASS PARTITIONS - WITH ALTERRALITE SYSTEM-100 FRAME PROFILES</v>
      </c>
      <c r="E1084" s="170"/>
      <c r="F1084" s="168"/>
      <c r="G1084" s="267"/>
    </row>
    <row r="1085" spans="1:7" ht="342">
      <c r="A1085" s="168" t="s">
        <v>70</v>
      </c>
      <c r="B1085" s="169"/>
      <c r="C1085" s="170"/>
      <c r="D1085" s="277" t="str">
        <f>'BOQ-C&amp;I'!C251</f>
        <v>Supply &amp; Fixing of Aluminium Glazed Door Single Leaf with Glass infill of 12mm thk toughened glass with Dormakaba Alterra lite System-100mm frames Stiles all around the door. Aluminium Stile to be formed out of 100x45mm of Alterra STP100 Door Profile frame with clips &amp; seals with Dormakaba Flush Hinges (3Nos) &amp; TGDI-D 22x300mm Pull Handle, 917 Narrow stile Dead Lock package and Dormakaba TS91 Door closer (as per EN 1154) with Hold Open unit,For doors part of single/double glazed partiton DP100-SG/DG Door rebate profile to be used.In case of Glass overall panel Alterra lite OHPDP100-SD/DG Over Panel Door profile to be used.The Alterra lite profiles shall be suitable for Glass thickness of 12mm.The Profile shall be matt natural anodized, the Profile Manufacturer to supply all the necessary clips, seals and fixing accessories for the system.All Profiles to be with 2 mm Gauge thickness Excluding 20 Micron of Anodizing.Approved Manufacturer: Profiles/Frames: Dormakaba, Glass : Saint Giobain/AsahiWidth 1000mm x Height 2400mm</v>
      </c>
      <c r="E1085" s="170"/>
      <c r="F1085" s="168"/>
      <c r="G1085" s="267"/>
    </row>
    <row r="1086" spans="1:7" ht="18">
      <c r="A1086" s="168"/>
      <c r="B1086" s="169">
        <v>1</v>
      </c>
      <c r="C1086" s="170" t="s">
        <v>9</v>
      </c>
      <c r="D1086" s="277" t="s">
        <v>1878</v>
      </c>
      <c r="E1086" s="172">
        <f>'Comparison - Annexure 03'!K9</f>
        <v>7200</v>
      </c>
      <c r="F1086" s="168" t="s">
        <v>9</v>
      </c>
      <c r="G1086" s="195">
        <f>B1086*E1086</f>
        <v>7200</v>
      </c>
    </row>
    <row r="1087" spans="1:7" ht="18">
      <c r="A1087" s="168"/>
      <c r="B1087" s="302"/>
      <c r="C1087" s="329"/>
      <c r="D1087" s="381"/>
      <c r="E1087" s="413"/>
      <c r="F1087" s="329"/>
      <c r="G1087" s="171"/>
    </row>
    <row r="1088" spans="1:7" ht="36">
      <c r="A1088" s="168">
        <f>A1081+1</f>
        <v>75</v>
      </c>
      <c r="B1088" s="302"/>
      <c r="C1088" s="329"/>
      <c r="D1088" s="381" t="str">
        <f>'BOQ-C&amp;I'!C253</f>
        <v>PASSENGER LIFTS (G+3)SS 304 Grade with 1m/sec. speed with ARD</v>
      </c>
      <c r="E1088" s="413"/>
      <c r="F1088" s="329"/>
      <c r="G1088" s="171"/>
    </row>
    <row r="1089" spans="1:7" ht="54" customHeight="1">
      <c r="A1089" s="168" t="s">
        <v>71</v>
      </c>
      <c r="B1089" s="177"/>
      <c r="C1089" s="174"/>
      <c r="D1089" s="175" t="str">
        <f>'BOQ-C&amp;I'!C254</f>
        <v>13 Persons Passenger Lift Car Size (2000 x 1100) Gearless Lift without Machine Room</v>
      </c>
      <c r="E1089" s="298"/>
      <c r="F1089" s="174"/>
      <c r="G1089" s="306"/>
    </row>
    <row r="1090" spans="1:7" ht="18">
      <c r="A1090" s="168"/>
      <c r="B1090" s="177">
        <v>1</v>
      </c>
      <c r="C1090" s="174" t="s">
        <v>165</v>
      </c>
      <c r="D1090" s="175" t="s">
        <v>738</v>
      </c>
      <c r="E1090" s="192">
        <v>1857100</v>
      </c>
      <c r="F1090" s="174" t="s">
        <v>165</v>
      </c>
      <c r="G1090" s="306">
        <f>E1090*B1090</f>
        <v>1857100</v>
      </c>
    </row>
    <row r="1091" spans="1:7" ht="18">
      <c r="A1091" s="168"/>
      <c r="B1091" s="302"/>
      <c r="C1091" s="329"/>
      <c r="D1091" s="381"/>
      <c r="E1091" s="413"/>
      <c r="F1091" s="329"/>
      <c r="G1091" s="171"/>
    </row>
    <row r="1092" spans="1:7" ht="108">
      <c r="A1092" s="168" t="s">
        <v>70</v>
      </c>
      <c r="B1092" s="302"/>
      <c r="C1092" s="329"/>
      <c r="D1092" s="273" t="str">
        <f>'BOQ-C&amp;I'!C255</f>
        <v>Further increase of rate per floor for every additional floor Rs.1,00,000/- per floor. Comprehensive servicing and maintenance of lifts for further period of 2 years beyond free warranty period of one year from the date of commissioning of lifts will be paid at the rate of 5% of capital cost of lift.</v>
      </c>
      <c r="E1092" s="413"/>
      <c r="F1092" s="329"/>
      <c r="G1092" s="171"/>
    </row>
    <row r="1093" spans="1:7" ht="18">
      <c r="A1093" s="168"/>
      <c r="B1093" s="177">
        <v>1</v>
      </c>
      <c r="C1093" s="174" t="s">
        <v>165</v>
      </c>
      <c r="D1093" s="175" t="s">
        <v>740</v>
      </c>
      <c r="E1093" s="195">
        <v>100000</v>
      </c>
      <c r="F1093" s="174" t="s">
        <v>165</v>
      </c>
      <c r="G1093" s="306">
        <f>E1093*B1093</f>
        <v>100000</v>
      </c>
    </row>
    <row r="1094" spans="1:7" ht="18">
      <c r="A1094" s="168">
        <f>A1088+1</f>
        <v>76</v>
      </c>
      <c r="B1094" s="273"/>
      <c r="C1094" s="273"/>
      <c r="D1094" s="304" t="str">
        <f>'BOQ-C&amp;I'!C258</f>
        <v>Road Works</v>
      </c>
      <c r="E1094" s="273"/>
      <c r="F1094" s="174"/>
      <c r="G1094" s="273"/>
    </row>
    <row r="1095" spans="1:7" ht="162">
      <c r="A1095" s="174" t="s">
        <v>71</v>
      </c>
      <c r="B1095" s="177"/>
      <c r="C1095" s="273"/>
      <c r="D1095" s="273" t="str">
        <f>'BOQ-C&amp;I'!C264</f>
        <v>Preparation of sub-grade and compacting with vibratory roller having minimum 8 - 10 ton vibratory power roller static weight to achieve desired density of not less than 98% of MDD including forming camber and gradients watering and rolling to reach required density complete, including all material, labour, watering, machinery with all leads and lifts etc. as complete with all respects complying with relevant standard specification as directed by the departmental officers.</v>
      </c>
      <c r="E1095" s="305"/>
      <c r="F1095" s="174"/>
      <c r="G1095" s="306">
        <f>E1095*B1095</f>
        <v>0</v>
      </c>
    </row>
    <row r="1096" spans="1:7" s="311" customFormat="1" ht="18">
      <c r="A1096" s="281"/>
      <c r="B1096" s="307"/>
      <c r="C1096" s="281"/>
      <c r="D1096" s="308" t="s">
        <v>1501</v>
      </c>
      <c r="E1096" s="309"/>
      <c r="F1096" s="310"/>
      <c r="G1096" s="309"/>
    </row>
    <row r="1097" spans="1:7" s="311" customFormat="1" ht="18">
      <c r="A1097" s="281"/>
      <c r="B1097" s="312">
        <v>4</v>
      </c>
      <c r="C1097" s="281" t="s">
        <v>51</v>
      </c>
      <c r="D1097" s="313" t="s">
        <v>1502</v>
      </c>
      <c r="E1097" s="172">
        <f>698+(698*5%)</f>
        <v>732.9</v>
      </c>
      <c r="F1097" s="310" t="s">
        <v>165</v>
      </c>
      <c r="G1097" s="307">
        <f>E1097*B1097</f>
        <v>2931.6</v>
      </c>
    </row>
    <row r="1098" spans="1:7" s="311" customFormat="1" ht="18">
      <c r="A1098" s="281"/>
      <c r="B1098" s="312"/>
      <c r="C1098" s="281"/>
      <c r="D1098" s="313" t="s">
        <v>1503</v>
      </c>
      <c r="E1098" s="303"/>
      <c r="F1098" s="310"/>
      <c r="G1098" s="307">
        <f>G1097</f>
        <v>2931.6</v>
      </c>
    </row>
    <row r="1099" spans="1:7" s="311" customFormat="1" ht="18">
      <c r="A1099" s="281"/>
      <c r="B1099" s="312">
        <v>10</v>
      </c>
      <c r="C1099" s="281" t="s">
        <v>177</v>
      </c>
      <c r="D1099" s="313" t="s">
        <v>1504</v>
      </c>
      <c r="E1099" s="172">
        <f>G1098</f>
        <v>2931.6</v>
      </c>
      <c r="F1099" s="310" t="s">
        <v>177</v>
      </c>
      <c r="G1099" s="307">
        <f>E1099/B1099</f>
        <v>293.15999999999997</v>
      </c>
    </row>
    <row r="1100" spans="1:7" s="311" customFormat="1" ht="18">
      <c r="A1100" s="281"/>
      <c r="B1100" s="312"/>
      <c r="C1100" s="281"/>
      <c r="D1100" s="314" t="s">
        <v>1505</v>
      </c>
      <c r="E1100" s="172"/>
      <c r="F1100" s="310"/>
      <c r="G1100" s="315">
        <f>G1099/10</f>
        <v>29.315999999999995</v>
      </c>
    </row>
    <row r="1101" spans="1:7" s="311" customFormat="1" ht="18">
      <c r="A1101" s="281"/>
      <c r="B1101" s="316"/>
      <c r="C1101" s="310"/>
      <c r="D1101" s="317" t="s">
        <v>1506</v>
      </c>
      <c r="E1101" s="318"/>
      <c r="F1101" s="319"/>
      <c r="G1101" s="320"/>
    </row>
    <row r="1102" spans="1:7" s="311" customFormat="1" ht="18">
      <c r="A1102" s="281"/>
      <c r="B1102" s="321">
        <v>1</v>
      </c>
      <c r="C1102" s="310" t="s">
        <v>1507</v>
      </c>
      <c r="D1102" s="319" t="s">
        <v>1508</v>
      </c>
      <c r="E1102" s="172">
        <v>985</v>
      </c>
      <c r="F1102" s="322" t="s">
        <v>1507</v>
      </c>
      <c r="G1102" s="320">
        <f>B1102*E1102</f>
        <v>985</v>
      </c>
    </row>
    <row r="1103" spans="1:7" s="311" customFormat="1" ht="36">
      <c r="A1103" s="281"/>
      <c r="B1103" s="321">
        <f>2.5*8</f>
        <v>20</v>
      </c>
      <c r="C1103" s="310" t="s">
        <v>1509</v>
      </c>
      <c r="D1103" s="319" t="s">
        <v>1510</v>
      </c>
      <c r="E1103" s="172">
        <v>93.65</v>
      </c>
      <c r="F1103" s="323" t="s">
        <v>1511</v>
      </c>
      <c r="G1103" s="320">
        <f>B1103*E1103</f>
        <v>1873</v>
      </c>
    </row>
    <row r="1104" spans="1:7" s="311" customFormat="1" ht="18">
      <c r="A1104" s="281"/>
      <c r="B1104" s="321"/>
      <c r="C1104" s="310"/>
      <c r="D1104" s="317" t="s">
        <v>1512</v>
      </c>
      <c r="E1104" s="172">
        <f>G1102+G1103</f>
        <v>2858</v>
      </c>
      <c r="F1104" s="323" t="s">
        <v>1513</v>
      </c>
      <c r="G1104" s="324">
        <f>E1104*10/950</f>
        <v>30.08421052631579</v>
      </c>
    </row>
    <row r="1105" spans="1:7" s="311" customFormat="1" ht="18">
      <c r="A1105" s="281"/>
      <c r="B1105" s="321"/>
      <c r="C1105" s="310"/>
      <c r="D1105" s="317" t="s">
        <v>1514</v>
      </c>
      <c r="E1105" s="318"/>
      <c r="F1105" s="319"/>
      <c r="G1105" s="319"/>
    </row>
    <row r="1106" spans="1:7" s="311" customFormat="1" ht="18">
      <c r="A1106" s="281"/>
      <c r="B1106" s="321">
        <v>1</v>
      </c>
      <c r="C1106" s="310" t="s">
        <v>1507</v>
      </c>
      <c r="D1106" s="319" t="s">
        <v>1515</v>
      </c>
      <c r="E1106" s="172">
        <v>1383</v>
      </c>
      <c r="F1106" s="322" t="s">
        <v>1507</v>
      </c>
      <c r="G1106" s="320">
        <f>B1106*E1106</f>
        <v>1383</v>
      </c>
    </row>
    <row r="1107" spans="1:7" s="311" customFormat="1" ht="36">
      <c r="A1107" s="281"/>
      <c r="B1107" s="321">
        <f>3.25*8</f>
        <v>26</v>
      </c>
      <c r="C1107" s="310" t="s">
        <v>1509</v>
      </c>
      <c r="D1107" s="319" t="s">
        <v>1516</v>
      </c>
      <c r="E1107" s="172">
        <f>E1103</f>
        <v>93.65</v>
      </c>
      <c r="F1107" s="322" t="s">
        <v>1507</v>
      </c>
      <c r="G1107" s="320">
        <f>B1107*E1107</f>
        <v>2434.9</v>
      </c>
    </row>
    <row r="1108" spans="1:7" s="311" customFormat="1" ht="18">
      <c r="A1108" s="281"/>
      <c r="B1108" s="321"/>
      <c r="C1108" s="310"/>
      <c r="D1108" s="319" t="s">
        <v>520</v>
      </c>
      <c r="E1108" s="321"/>
      <c r="F1108" s="323"/>
      <c r="G1108" s="320">
        <f>SUM(G1106:G1107)</f>
        <v>3817.9</v>
      </c>
    </row>
    <row r="1109" spans="1:7" s="311" customFormat="1" ht="36">
      <c r="A1109" s="281"/>
      <c r="B1109" s="282"/>
      <c r="C1109" s="310"/>
      <c r="D1109" s="319" t="s">
        <v>1517</v>
      </c>
      <c r="E1109" s="325"/>
      <c r="F1109" s="319"/>
      <c r="G1109" s="326">
        <f>(G1106+G1107)*10/1000</f>
        <v>38.179000000000002</v>
      </c>
    </row>
    <row r="1110" spans="1:7" s="311" customFormat="1" ht="18">
      <c r="A1110" s="281"/>
      <c r="B1110" s="327"/>
      <c r="C1110" s="310"/>
      <c r="D1110" s="317" t="s">
        <v>1518</v>
      </c>
      <c r="E1110" s="325"/>
      <c r="F1110" s="174" t="s">
        <v>9</v>
      </c>
      <c r="G1110" s="324">
        <f>ROUNDUP(G1109+G1104+G1100,0)</f>
        <v>98</v>
      </c>
    </row>
    <row r="1111" spans="1:7" ht="18">
      <c r="A1111" s="174"/>
      <c r="B1111" s="177"/>
      <c r="C1111" s="273"/>
      <c r="D1111" s="273"/>
      <c r="E1111" s="305"/>
      <c r="F1111" s="174"/>
      <c r="G1111" s="306"/>
    </row>
    <row r="1112" spans="1:7" ht="144">
      <c r="A1112" s="174" t="s">
        <v>70</v>
      </c>
      <c r="B1112" s="177"/>
      <c r="C1112" s="273"/>
      <c r="D1112" s="273" t="str">
        <f>'BOQ-C&amp;I'!C265</f>
        <v>Providing of Granular Sub base using Grade I materials of table 400 -1 of Morth with minimum CBR 30 spreading in uniform layers with motor grader on prepared surface, mix in by palce method at OMC and compacting with Vibratory Roller to achieve the desired density including all labourcharges etc, complete as per technical specification and as directed by the departmental officers. Morth - Rev V No. 111,112,401,900</v>
      </c>
      <c r="E1112" s="328"/>
      <c r="F1112" s="174"/>
      <c r="G1112" s="306"/>
    </row>
    <row r="1113" spans="1:7" s="330" customFormat="1" ht="18">
      <c r="A1113" s="174"/>
      <c r="B1113" s="174"/>
      <c r="C1113" s="273"/>
      <c r="D1113" s="329" t="s">
        <v>1519</v>
      </c>
      <c r="E1113" s="273"/>
      <c r="F1113" s="174"/>
      <c r="G1113" s="273"/>
    </row>
    <row r="1114" spans="1:7" s="330" customFormat="1" ht="18">
      <c r="A1114" s="174"/>
      <c r="B1114" s="174">
        <v>1</v>
      </c>
      <c r="C1114" s="273" t="s">
        <v>155</v>
      </c>
      <c r="D1114" s="273" t="s">
        <v>1520</v>
      </c>
      <c r="E1114" s="305">
        <f>'Lead Statement'!I25</f>
        <v>934.07999999999993</v>
      </c>
      <c r="F1114" s="174" t="s">
        <v>155</v>
      </c>
      <c r="G1114" s="305">
        <f t="shared" ref="G1114:G1120" si="22">E1114*B1114</f>
        <v>934.07999999999993</v>
      </c>
    </row>
    <row r="1115" spans="1:7" s="330" customFormat="1" ht="18">
      <c r="A1115" s="174"/>
      <c r="B1115" s="174">
        <v>1</v>
      </c>
      <c r="C1115" s="273" t="s">
        <v>155</v>
      </c>
      <c r="D1115" s="273" t="s">
        <v>1521</v>
      </c>
      <c r="E1115" s="305">
        <f>'Lead Statement'!I26</f>
        <v>1210.08</v>
      </c>
      <c r="F1115" s="174" t="s">
        <v>155</v>
      </c>
      <c r="G1115" s="305">
        <f t="shared" si="22"/>
        <v>1210.08</v>
      </c>
    </row>
    <row r="1116" spans="1:7" s="330" customFormat="1" ht="18">
      <c r="A1116" s="174"/>
      <c r="B1116" s="174">
        <v>1</v>
      </c>
      <c r="C1116" s="273" t="s">
        <v>155</v>
      </c>
      <c r="D1116" s="273" t="s">
        <v>1522</v>
      </c>
      <c r="E1116" s="305">
        <f>'Lead Statement'!I27</f>
        <v>1210.08</v>
      </c>
      <c r="F1116" s="174" t="s">
        <v>155</v>
      </c>
      <c r="G1116" s="305">
        <f t="shared" si="22"/>
        <v>1210.08</v>
      </c>
    </row>
    <row r="1117" spans="1:7" s="330" customFormat="1" ht="18">
      <c r="A1117" s="174"/>
      <c r="B1117" s="174">
        <v>1</v>
      </c>
      <c r="C1117" s="273" t="s">
        <v>155</v>
      </c>
      <c r="D1117" s="273" t="s">
        <v>1523</v>
      </c>
      <c r="E1117" s="305">
        <f>'Lead Statement'!I28</f>
        <v>1232.08</v>
      </c>
      <c r="F1117" s="174" t="s">
        <v>155</v>
      </c>
      <c r="G1117" s="305">
        <f t="shared" si="22"/>
        <v>1232.08</v>
      </c>
    </row>
    <row r="1118" spans="1:7" s="330" customFormat="1" ht="18">
      <c r="A1118" s="174"/>
      <c r="B1118" s="174">
        <v>1</v>
      </c>
      <c r="C1118" s="273" t="s">
        <v>155</v>
      </c>
      <c r="D1118" s="273" t="s">
        <v>1524</v>
      </c>
      <c r="E1118" s="305">
        <f>'Lead Statement'!I29</f>
        <v>1170.08</v>
      </c>
      <c r="F1118" s="174" t="s">
        <v>155</v>
      </c>
      <c r="G1118" s="305">
        <f t="shared" si="22"/>
        <v>1170.08</v>
      </c>
    </row>
    <row r="1119" spans="1:7" s="330" customFormat="1" ht="18">
      <c r="A1119" s="174"/>
      <c r="B1119" s="174">
        <v>1</v>
      </c>
      <c r="C1119" s="273" t="s">
        <v>155</v>
      </c>
      <c r="D1119" s="273" t="s">
        <v>1525</v>
      </c>
      <c r="E1119" s="305">
        <f>'Lead Statement'!I30</f>
        <v>1170.08</v>
      </c>
      <c r="F1119" s="174" t="s">
        <v>155</v>
      </c>
      <c r="G1119" s="305">
        <f t="shared" si="22"/>
        <v>1170.08</v>
      </c>
    </row>
    <row r="1120" spans="1:7" s="330" customFormat="1" ht="18">
      <c r="A1120" s="174"/>
      <c r="B1120" s="174">
        <v>1</v>
      </c>
      <c r="C1120" s="273" t="s">
        <v>155</v>
      </c>
      <c r="D1120" s="273" t="s">
        <v>1526</v>
      </c>
      <c r="E1120" s="305">
        <f>'Lead Statement'!I31</f>
        <v>1640.08</v>
      </c>
      <c r="F1120" s="174" t="s">
        <v>155</v>
      </c>
      <c r="G1120" s="305">
        <f t="shared" si="22"/>
        <v>1640.08</v>
      </c>
    </row>
    <row r="1121" spans="1:7" s="330" customFormat="1" ht="18">
      <c r="A1121" s="174"/>
      <c r="B1121" s="174"/>
      <c r="C1121" s="273"/>
      <c r="D1121" s="273" t="s">
        <v>520</v>
      </c>
      <c r="E1121" s="305"/>
      <c r="F1121" s="174"/>
      <c r="G1121" s="305">
        <f>SUM(G1114:G1120)</f>
        <v>8566.56</v>
      </c>
    </row>
    <row r="1122" spans="1:7" s="330" customFormat="1" ht="18">
      <c r="A1122" s="174"/>
      <c r="B1122" s="174"/>
      <c r="C1122" s="273"/>
      <c r="D1122" s="273" t="s">
        <v>153</v>
      </c>
      <c r="E1122" s="305"/>
      <c r="F1122" s="174"/>
      <c r="G1122" s="305">
        <f>G1121/7</f>
        <v>1223.7942857142857</v>
      </c>
    </row>
    <row r="1123" spans="1:7" s="330" customFormat="1" ht="18">
      <c r="A1123" s="174"/>
      <c r="B1123" s="174"/>
      <c r="C1123" s="273"/>
      <c r="D1123" s="329" t="s">
        <v>1527</v>
      </c>
      <c r="E1123" s="305"/>
      <c r="F1123" s="174"/>
      <c r="G1123" s="305"/>
    </row>
    <row r="1124" spans="1:7" s="330" customFormat="1" ht="18">
      <c r="A1124" s="174"/>
      <c r="B1124" s="174">
        <v>1</v>
      </c>
      <c r="C1124" s="273" t="s">
        <v>155</v>
      </c>
      <c r="D1124" s="273" t="s">
        <v>1526</v>
      </c>
      <c r="E1124" s="305">
        <f>'Lead Statement'!I31</f>
        <v>1640.08</v>
      </c>
      <c r="F1124" s="174" t="s">
        <v>155</v>
      </c>
      <c r="G1124" s="305">
        <f t="shared" ref="G1124:G1131" si="23">E1124*B1124</f>
        <v>1640.08</v>
      </c>
    </row>
    <row r="1125" spans="1:7" s="330" customFormat="1" ht="18">
      <c r="A1125" s="174"/>
      <c r="B1125" s="174">
        <v>1</v>
      </c>
      <c r="C1125" s="273" t="s">
        <v>155</v>
      </c>
      <c r="D1125" s="273" t="s">
        <v>1528</v>
      </c>
      <c r="E1125" s="305">
        <f>'Lead Statement'!I32</f>
        <v>1531.08</v>
      </c>
      <c r="F1125" s="174" t="s">
        <v>155</v>
      </c>
      <c r="G1125" s="305">
        <f t="shared" si="23"/>
        <v>1531.08</v>
      </c>
    </row>
    <row r="1126" spans="1:7" s="330" customFormat="1" ht="18">
      <c r="A1126" s="174"/>
      <c r="B1126" s="174">
        <v>1</v>
      </c>
      <c r="C1126" s="273" t="s">
        <v>155</v>
      </c>
      <c r="D1126" s="273" t="s">
        <v>1529</v>
      </c>
      <c r="E1126" s="305">
        <f>'Lead Statement'!I33</f>
        <v>1081.08</v>
      </c>
      <c r="F1126" s="174" t="s">
        <v>155</v>
      </c>
      <c r="G1126" s="305">
        <f t="shared" si="23"/>
        <v>1081.08</v>
      </c>
    </row>
    <row r="1127" spans="1:7" s="330" customFormat="1" ht="18">
      <c r="A1127" s="174"/>
      <c r="B1127" s="174">
        <v>1</v>
      </c>
      <c r="C1127" s="273" t="s">
        <v>155</v>
      </c>
      <c r="D1127" s="273" t="s">
        <v>1530</v>
      </c>
      <c r="E1127" s="305">
        <f>'Lead Statement'!I34</f>
        <v>836.07999999999993</v>
      </c>
      <c r="F1127" s="174" t="s">
        <v>155</v>
      </c>
      <c r="G1127" s="305">
        <f t="shared" si="23"/>
        <v>836.07999999999993</v>
      </c>
    </row>
    <row r="1128" spans="1:7" s="330" customFormat="1" ht="18">
      <c r="A1128" s="174"/>
      <c r="B1128" s="174">
        <v>1</v>
      </c>
      <c r="C1128" s="273" t="s">
        <v>155</v>
      </c>
      <c r="D1128" s="273" t="s">
        <v>1531</v>
      </c>
      <c r="E1128" s="305">
        <f>'Lead Statement'!I35</f>
        <v>836.07999999999993</v>
      </c>
      <c r="F1128" s="174" t="s">
        <v>155</v>
      </c>
      <c r="G1128" s="305">
        <f t="shared" si="23"/>
        <v>836.07999999999993</v>
      </c>
    </row>
    <row r="1129" spans="1:7" s="330" customFormat="1" ht="18">
      <c r="A1129" s="174"/>
      <c r="B1129" s="174">
        <v>1</v>
      </c>
      <c r="C1129" s="273" t="s">
        <v>155</v>
      </c>
      <c r="D1129" s="273" t="s">
        <v>1532</v>
      </c>
      <c r="E1129" s="305">
        <f>'Lead Statement'!I36</f>
        <v>836.07999999999993</v>
      </c>
      <c r="F1129" s="174" t="s">
        <v>155</v>
      </c>
      <c r="G1129" s="305">
        <f t="shared" si="23"/>
        <v>836.07999999999993</v>
      </c>
    </row>
    <row r="1130" spans="1:7" s="330" customFormat="1" ht="18">
      <c r="A1130" s="174"/>
      <c r="B1130" s="174">
        <v>1</v>
      </c>
      <c r="C1130" s="273" t="s">
        <v>155</v>
      </c>
      <c r="D1130" s="273" t="s">
        <v>1533</v>
      </c>
      <c r="E1130" s="305">
        <f>'Lead Statement'!I37</f>
        <v>755.07999999999993</v>
      </c>
      <c r="F1130" s="174" t="s">
        <v>155</v>
      </c>
      <c r="G1130" s="305">
        <f t="shared" si="23"/>
        <v>755.07999999999993</v>
      </c>
    </row>
    <row r="1131" spans="1:7" s="330" customFormat="1" ht="18">
      <c r="A1131" s="174"/>
      <c r="B1131" s="174">
        <v>1</v>
      </c>
      <c r="C1131" s="273" t="s">
        <v>155</v>
      </c>
      <c r="D1131" s="273" t="s">
        <v>969</v>
      </c>
      <c r="E1131" s="305">
        <f>'Lead Statement'!I15</f>
        <v>245.6</v>
      </c>
      <c r="F1131" s="174" t="s">
        <v>155</v>
      </c>
      <c r="G1131" s="305">
        <f t="shared" si="23"/>
        <v>245.6</v>
      </c>
    </row>
    <row r="1132" spans="1:7" s="330" customFormat="1" ht="18">
      <c r="A1132" s="174"/>
      <c r="B1132" s="174"/>
      <c r="C1132" s="273"/>
      <c r="D1132" s="273" t="s">
        <v>520</v>
      </c>
      <c r="E1132" s="305"/>
      <c r="F1132" s="174"/>
      <c r="G1132" s="305">
        <f>SUM(G1124:G1131)</f>
        <v>7761.16</v>
      </c>
    </row>
    <row r="1133" spans="1:7" s="330" customFormat="1" ht="18">
      <c r="A1133" s="174"/>
      <c r="B1133" s="174"/>
      <c r="C1133" s="273"/>
      <c r="D1133" s="273" t="s">
        <v>153</v>
      </c>
      <c r="E1133" s="305"/>
      <c r="F1133" s="174"/>
      <c r="G1133" s="305">
        <f>G1132/8</f>
        <v>970.14499999999998</v>
      </c>
    </row>
    <row r="1134" spans="1:7" s="330" customFormat="1" ht="18">
      <c r="A1134" s="174"/>
      <c r="B1134" s="174"/>
      <c r="C1134" s="273"/>
      <c r="D1134" s="273" t="s">
        <v>1501</v>
      </c>
      <c r="E1134" s="305"/>
      <c r="F1134" s="174"/>
      <c r="G1134" s="192"/>
    </row>
    <row r="1135" spans="1:7" s="330" customFormat="1" ht="18">
      <c r="A1135" s="174" t="s">
        <v>772</v>
      </c>
      <c r="B1135" s="174"/>
      <c r="C1135" s="273"/>
      <c r="D1135" s="273" t="s">
        <v>1534</v>
      </c>
      <c r="E1135" s="305"/>
      <c r="F1135" s="174"/>
      <c r="G1135" s="192"/>
    </row>
    <row r="1136" spans="1:7" s="330" customFormat="1" ht="18">
      <c r="A1136" s="174"/>
      <c r="B1136" s="174">
        <v>1</v>
      </c>
      <c r="C1136" s="273" t="s">
        <v>1535</v>
      </c>
      <c r="D1136" s="273" t="s">
        <v>1563</v>
      </c>
      <c r="E1136" s="305">
        <v>1452</v>
      </c>
      <c r="F1136" s="174" t="s">
        <v>1535</v>
      </c>
      <c r="G1136" s="192">
        <f>E1136*B1136</f>
        <v>1452</v>
      </c>
    </row>
    <row r="1137" spans="1:7" s="330" customFormat="1" ht="18">
      <c r="A1137" s="174"/>
      <c r="B1137" s="174">
        <v>80</v>
      </c>
      <c r="C1137" s="273" t="s">
        <v>1536</v>
      </c>
      <c r="D1137" s="273" t="s">
        <v>1537</v>
      </c>
      <c r="E1137" s="305">
        <v>93.65</v>
      </c>
      <c r="F1137" s="174" t="s">
        <v>1507</v>
      </c>
      <c r="G1137" s="192">
        <f>E1137*B1137</f>
        <v>7492</v>
      </c>
    </row>
    <row r="1138" spans="1:7" s="330" customFormat="1" ht="18">
      <c r="A1138" s="174"/>
      <c r="B1138" s="174"/>
      <c r="C1138" s="273"/>
      <c r="D1138" s="273" t="s">
        <v>1538</v>
      </c>
      <c r="E1138" s="305"/>
      <c r="F1138" s="174"/>
      <c r="G1138" s="192">
        <f>SUM(G1136:G1137)</f>
        <v>8944</v>
      </c>
    </row>
    <row r="1139" spans="1:7" s="330" customFormat="1" ht="18">
      <c r="A1139" s="174"/>
      <c r="B1139" s="174"/>
      <c r="C1139" s="273"/>
      <c r="D1139" s="273" t="s">
        <v>1539</v>
      </c>
      <c r="E1139" s="305">
        <v>8</v>
      </c>
      <c r="F1139" s="174"/>
      <c r="G1139" s="192">
        <f>G1138/E1139</f>
        <v>1118</v>
      </c>
    </row>
    <row r="1140" spans="1:7" s="330" customFormat="1" ht="18">
      <c r="A1140" s="174" t="s">
        <v>922</v>
      </c>
      <c r="B1140" s="174">
        <v>1</v>
      </c>
      <c r="C1140" s="273" t="s">
        <v>1507</v>
      </c>
      <c r="D1140" s="273" t="s">
        <v>1564</v>
      </c>
      <c r="E1140" s="305">
        <v>1307</v>
      </c>
      <c r="F1140" s="174" t="s">
        <v>1535</v>
      </c>
      <c r="G1140" s="192">
        <f>E1140*B1140</f>
        <v>1307</v>
      </c>
    </row>
    <row r="1141" spans="1:7" s="330" customFormat="1" ht="18">
      <c r="A1141" s="174"/>
      <c r="B1141" s="174">
        <f>3.25*8</f>
        <v>26</v>
      </c>
      <c r="C1141" s="273" t="s">
        <v>1540</v>
      </c>
      <c r="D1141" s="273" t="s">
        <v>1541</v>
      </c>
      <c r="E1141" s="305">
        <f>E1137</f>
        <v>93.65</v>
      </c>
      <c r="F1141" s="174" t="s">
        <v>1535</v>
      </c>
      <c r="G1141" s="192">
        <f>E1141*B1141</f>
        <v>2434.9</v>
      </c>
    </row>
    <row r="1142" spans="1:7" s="330" customFormat="1" ht="18">
      <c r="A1142" s="174"/>
      <c r="B1142" s="174"/>
      <c r="C1142" s="273"/>
      <c r="D1142" s="273" t="s">
        <v>1538</v>
      </c>
      <c r="E1142" s="305"/>
      <c r="F1142" s="174"/>
      <c r="G1142" s="192">
        <f>SUM(G1140:G1141)</f>
        <v>3741.9</v>
      </c>
    </row>
    <row r="1143" spans="1:7" s="330" customFormat="1" ht="18">
      <c r="A1143" s="174"/>
      <c r="B1143" s="174"/>
      <c r="C1143" s="273"/>
      <c r="D1143" s="273" t="s">
        <v>1539</v>
      </c>
      <c r="E1143" s="305">
        <v>8</v>
      </c>
      <c r="F1143" s="174"/>
      <c r="G1143" s="192">
        <f>G1142/E1143</f>
        <v>467.73750000000001</v>
      </c>
    </row>
    <row r="1144" spans="1:7" s="330" customFormat="1" ht="18">
      <c r="A1144" s="174" t="s">
        <v>69</v>
      </c>
      <c r="B1144" s="174">
        <v>1</v>
      </c>
      <c r="C1144" s="273" t="s">
        <v>1507</v>
      </c>
      <c r="D1144" s="273" t="s">
        <v>1565</v>
      </c>
      <c r="E1144" s="305">
        <v>2395</v>
      </c>
      <c r="F1144" s="174" t="s">
        <v>1535</v>
      </c>
      <c r="G1144" s="192">
        <f>E1144*B1144</f>
        <v>2395</v>
      </c>
    </row>
    <row r="1145" spans="1:7" s="330" customFormat="1" ht="18">
      <c r="A1145" s="174"/>
      <c r="B1145" s="174">
        <v>25</v>
      </c>
      <c r="C1145" s="273" t="s">
        <v>1540</v>
      </c>
      <c r="D1145" s="273" t="s">
        <v>1542</v>
      </c>
      <c r="E1145" s="305">
        <f>E1137</f>
        <v>93.65</v>
      </c>
      <c r="F1145" s="174" t="s">
        <v>1535</v>
      </c>
      <c r="G1145" s="192">
        <f>E1145*B1145</f>
        <v>2341.25</v>
      </c>
    </row>
    <row r="1146" spans="1:7" s="330" customFormat="1" ht="18">
      <c r="A1146" s="174"/>
      <c r="B1146" s="174"/>
      <c r="C1146" s="273"/>
      <c r="D1146" s="273" t="s">
        <v>1538</v>
      </c>
      <c r="E1146" s="305"/>
      <c r="F1146" s="174"/>
      <c r="G1146" s="192">
        <f>SUM(G1144:G1145)</f>
        <v>4736.25</v>
      </c>
    </row>
    <row r="1147" spans="1:7" s="330" customFormat="1" ht="18">
      <c r="A1147" s="174"/>
      <c r="B1147" s="174"/>
      <c r="C1147" s="273"/>
      <c r="D1147" s="273" t="s">
        <v>1539</v>
      </c>
      <c r="E1147" s="305">
        <v>8</v>
      </c>
      <c r="F1147" s="174"/>
      <c r="G1147" s="192">
        <f>G1146/E1147</f>
        <v>592.03125</v>
      </c>
    </row>
    <row r="1148" spans="1:7" s="330" customFormat="1" ht="18">
      <c r="A1148" s="174" t="s">
        <v>929</v>
      </c>
      <c r="B1148" s="174">
        <v>1</v>
      </c>
      <c r="C1148" s="273" t="s">
        <v>1507</v>
      </c>
      <c r="D1148" s="273" t="s">
        <v>1566</v>
      </c>
      <c r="E1148" s="305">
        <v>6531</v>
      </c>
      <c r="F1148" s="174" t="s">
        <v>1535</v>
      </c>
      <c r="G1148" s="192">
        <f>E1148*B1148</f>
        <v>6531</v>
      </c>
    </row>
    <row r="1149" spans="1:7" s="330" customFormat="1" ht="18">
      <c r="A1149" s="174"/>
      <c r="B1149" s="174">
        <v>24</v>
      </c>
      <c r="C1149" s="273" t="s">
        <v>1540</v>
      </c>
      <c r="D1149" s="273" t="s">
        <v>1543</v>
      </c>
      <c r="E1149" s="305">
        <f>E1137</f>
        <v>93.65</v>
      </c>
      <c r="F1149" s="174" t="s">
        <v>1535</v>
      </c>
      <c r="G1149" s="192">
        <f>E1149*B1149</f>
        <v>2247.6000000000004</v>
      </c>
    </row>
    <row r="1150" spans="1:7" s="330" customFormat="1" ht="18">
      <c r="A1150" s="174"/>
      <c r="B1150" s="174"/>
      <c r="C1150" s="273"/>
      <c r="D1150" s="273" t="s">
        <v>1538</v>
      </c>
      <c r="E1150" s="305"/>
      <c r="F1150" s="174"/>
      <c r="G1150" s="192">
        <f>SUM(G1148:G1149)</f>
        <v>8778.6</v>
      </c>
    </row>
    <row r="1151" spans="1:7" s="330" customFormat="1" ht="18">
      <c r="A1151" s="174"/>
      <c r="B1151" s="174"/>
      <c r="C1151" s="273"/>
      <c r="D1151" s="273" t="s">
        <v>1539</v>
      </c>
      <c r="E1151" s="305">
        <v>8</v>
      </c>
      <c r="F1151" s="174"/>
      <c r="G1151" s="192">
        <f>G1150/E1151</f>
        <v>1097.325</v>
      </c>
    </row>
    <row r="1152" spans="1:7" s="330" customFormat="1" ht="18">
      <c r="A1152" s="174" t="s">
        <v>932</v>
      </c>
      <c r="B1152" s="174">
        <v>1</v>
      </c>
      <c r="C1152" s="273" t="s">
        <v>1544</v>
      </c>
      <c r="D1152" s="273" t="s">
        <v>1567</v>
      </c>
      <c r="E1152" s="305">
        <v>16152</v>
      </c>
      <c r="F1152" s="174" t="s">
        <v>1535</v>
      </c>
      <c r="G1152" s="192">
        <f>E1152*B1152/8</f>
        <v>2019</v>
      </c>
    </row>
    <row r="1153" spans="1:7" s="330" customFormat="1" ht="36">
      <c r="A1153" s="174" t="s">
        <v>940</v>
      </c>
      <c r="B1153" s="174">
        <v>1</v>
      </c>
      <c r="C1153" s="273" t="s">
        <v>1544</v>
      </c>
      <c r="D1153" s="273" t="s">
        <v>1568</v>
      </c>
      <c r="E1153" s="305">
        <v>8037</v>
      </c>
      <c r="F1153" s="174" t="s">
        <v>1535</v>
      </c>
      <c r="G1153" s="192">
        <f>E1153*B1153/8</f>
        <v>1004.625</v>
      </c>
    </row>
    <row r="1154" spans="1:7" s="330" customFormat="1" ht="18">
      <c r="A1154" s="174"/>
      <c r="B1154" s="174"/>
      <c r="C1154" s="273"/>
      <c r="D1154" s="329" t="s">
        <v>1545</v>
      </c>
      <c r="E1154" s="305"/>
      <c r="F1154" s="174"/>
      <c r="G1154" s="192"/>
    </row>
    <row r="1155" spans="1:7" s="330" customFormat="1" ht="18">
      <c r="A1155" s="174"/>
      <c r="B1155" s="174">
        <v>12</v>
      </c>
      <c r="C1155" s="273" t="s">
        <v>1544</v>
      </c>
      <c r="D1155" s="273" t="s">
        <v>1546</v>
      </c>
      <c r="E1155" s="305">
        <f>G1143</f>
        <v>467.73750000000001</v>
      </c>
      <c r="F1155" s="174" t="s">
        <v>1544</v>
      </c>
      <c r="G1155" s="192">
        <f>E1155*B1155</f>
        <v>5612.85</v>
      </c>
    </row>
    <row r="1156" spans="1:7" s="330" customFormat="1" ht="18">
      <c r="A1156" s="174"/>
      <c r="B1156" s="174">
        <v>3</v>
      </c>
      <c r="C1156" s="273" t="s">
        <v>1544</v>
      </c>
      <c r="D1156" s="273" t="s">
        <v>1547</v>
      </c>
      <c r="E1156" s="305">
        <f>G1147</f>
        <v>592.03125</v>
      </c>
      <c r="F1156" s="174" t="s">
        <v>1544</v>
      </c>
      <c r="G1156" s="192">
        <f>E1156*B1156</f>
        <v>1776.09375</v>
      </c>
    </row>
    <row r="1157" spans="1:7" s="330" customFormat="1" ht="18">
      <c r="A1157" s="174"/>
      <c r="B1157" s="174">
        <v>6</v>
      </c>
      <c r="C1157" s="273" t="s">
        <v>1544</v>
      </c>
      <c r="D1157" s="273" t="s">
        <v>1548</v>
      </c>
      <c r="E1157" s="305">
        <f>G1152</f>
        <v>2019</v>
      </c>
      <c r="F1157" s="174" t="s">
        <v>1544</v>
      </c>
      <c r="G1157" s="192">
        <f>E1157*B1157</f>
        <v>12114</v>
      </c>
    </row>
    <row r="1158" spans="1:7" s="330" customFormat="1" ht="18">
      <c r="A1158" s="174"/>
      <c r="B1158" s="174">
        <v>6</v>
      </c>
      <c r="C1158" s="273" t="s">
        <v>1544</v>
      </c>
      <c r="D1158" s="273" t="s">
        <v>1549</v>
      </c>
      <c r="E1158" s="305">
        <f>G1151</f>
        <v>1097.325</v>
      </c>
      <c r="F1158" s="174" t="s">
        <v>1544</v>
      </c>
      <c r="G1158" s="192">
        <f>E1158*B1158</f>
        <v>6583.9500000000007</v>
      </c>
    </row>
    <row r="1159" spans="1:7" s="330" customFormat="1" ht="18">
      <c r="A1159" s="174"/>
      <c r="B1159" s="174"/>
      <c r="C1159" s="273"/>
      <c r="D1159" s="273" t="s">
        <v>1550</v>
      </c>
      <c r="E1159" s="305"/>
      <c r="F1159" s="174"/>
      <c r="G1159" s="192">
        <f>SUM(G1155:G1158)</f>
        <v>26086.893749999999</v>
      </c>
    </row>
    <row r="1160" spans="1:7" s="330" customFormat="1" ht="18">
      <c r="A1160" s="174"/>
      <c r="B1160" s="174"/>
      <c r="C1160" s="273"/>
      <c r="D1160" s="273" t="s">
        <v>1551</v>
      </c>
      <c r="E1160" s="305"/>
      <c r="F1160" s="174"/>
      <c r="G1160" s="192">
        <f>G1159/300</f>
        <v>86.956312499999996</v>
      </c>
    </row>
    <row r="1161" spans="1:7" s="330" customFormat="1" ht="18">
      <c r="A1161" s="174"/>
      <c r="B1161" s="174"/>
      <c r="C1161" s="273"/>
      <c r="D1161" s="329" t="s">
        <v>1552</v>
      </c>
      <c r="E1161" s="305"/>
      <c r="F1161" s="174"/>
      <c r="G1161" s="192"/>
    </row>
    <row r="1162" spans="1:7" s="330" customFormat="1" ht="18">
      <c r="A1162" s="174"/>
      <c r="B1162" s="174">
        <v>0.48</v>
      </c>
      <c r="C1162" s="273" t="s">
        <v>51</v>
      </c>
      <c r="D1162" s="273" t="s">
        <v>1569</v>
      </c>
      <c r="E1162" s="305">
        <f>719+(719*5%)</f>
        <v>754.95</v>
      </c>
      <c r="F1162" s="174" t="s">
        <v>2</v>
      </c>
      <c r="G1162" s="192">
        <f>E1162*B1162</f>
        <v>362.37600000000003</v>
      </c>
    </row>
    <row r="1163" spans="1:7" s="330" customFormat="1" ht="18">
      <c r="A1163" s="174"/>
      <c r="B1163" s="174">
        <v>2</v>
      </c>
      <c r="C1163" s="273" t="s">
        <v>51</v>
      </c>
      <c r="D1163" s="273" t="s">
        <v>1570</v>
      </c>
      <c r="E1163" s="305">
        <f>698+(698*5%)</f>
        <v>732.9</v>
      </c>
      <c r="F1163" s="174" t="s">
        <v>2</v>
      </c>
      <c r="G1163" s="192">
        <f>E1163*B1163</f>
        <v>1465.8</v>
      </c>
    </row>
    <row r="1164" spans="1:7" s="330" customFormat="1" ht="18">
      <c r="A1164" s="174"/>
      <c r="B1164" s="174">
        <v>10</v>
      </c>
      <c r="C1164" s="273" t="s">
        <v>51</v>
      </c>
      <c r="D1164" s="273" t="s">
        <v>1571</v>
      </c>
      <c r="E1164" s="305">
        <f>566+(566*5%)</f>
        <v>594.29999999999995</v>
      </c>
      <c r="F1164" s="174" t="s">
        <v>2</v>
      </c>
      <c r="G1164" s="192">
        <f>E1164*B1164</f>
        <v>5943</v>
      </c>
    </row>
    <row r="1165" spans="1:7" s="330" customFormat="1" ht="18">
      <c r="A1165" s="174"/>
      <c r="B1165" s="174"/>
      <c r="C1165" s="273"/>
      <c r="D1165" s="273" t="s">
        <v>1553</v>
      </c>
      <c r="E1165" s="305"/>
      <c r="F1165" s="174"/>
      <c r="G1165" s="192">
        <f>SUM(G1162:G1164)</f>
        <v>7771.1759999999995</v>
      </c>
    </row>
    <row r="1166" spans="1:7" s="330" customFormat="1" ht="18">
      <c r="A1166" s="174"/>
      <c r="B1166" s="174"/>
      <c r="C1166" s="273"/>
      <c r="D1166" s="273" t="s">
        <v>153</v>
      </c>
      <c r="E1166" s="305"/>
      <c r="F1166" s="174"/>
      <c r="G1166" s="192">
        <f>G1165/300</f>
        <v>25.903919999999999</v>
      </c>
    </row>
    <row r="1167" spans="1:7" s="330" customFormat="1" ht="18">
      <c r="A1167" s="174"/>
      <c r="B1167" s="174"/>
      <c r="C1167" s="273"/>
      <c r="D1167" s="331" t="s">
        <v>1554</v>
      </c>
      <c r="E1167" s="305"/>
      <c r="F1167" s="174"/>
      <c r="G1167" s="192"/>
    </row>
    <row r="1168" spans="1:7" s="330" customFormat="1" ht="18">
      <c r="A1168" s="174"/>
      <c r="B1168" s="174">
        <v>192</v>
      </c>
      <c r="C1168" s="273" t="s">
        <v>155</v>
      </c>
      <c r="D1168" s="273" t="s">
        <v>1555</v>
      </c>
      <c r="E1168" s="305">
        <f>G1122</f>
        <v>1223.7942857142857</v>
      </c>
      <c r="F1168" s="174" t="s">
        <v>155</v>
      </c>
      <c r="G1168" s="192">
        <f t="shared" ref="G1168:G1173" si="24">E1168*B1168</f>
        <v>234968.50285714286</v>
      </c>
    </row>
    <row r="1169" spans="1:7" s="330" customFormat="1" ht="18">
      <c r="A1169" s="174"/>
      <c r="B1169" s="174">
        <v>76</v>
      </c>
      <c r="C1169" s="273" t="s">
        <v>155</v>
      </c>
      <c r="D1169" s="273" t="s">
        <v>1556</v>
      </c>
      <c r="E1169" s="305">
        <f>G1133</f>
        <v>970.14499999999998</v>
      </c>
      <c r="F1169" s="174" t="s">
        <v>155</v>
      </c>
      <c r="G1169" s="192">
        <f t="shared" si="24"/>
        <v>73731.02</v>
      </c>
    </row>
    <row r="1170" spans="1:7" s="330" customFormat="1" ht="18">
      <c r="A1170" s="174"/>
      <c r="B1170" s="174">
        <v>115.2</v>
      </c>
      <c r="C1170" s="273" t="s">
        <v>155</v>
      </c>
      <c r="D1170" s="273" t="s">
        <v>1557</v>
      </c>
      <c r="E1170" s="305">
        <f>G1130</f>
        <v>755.07999999999993</v>
      </c>
      <c r="F1170" s="174" t="s">
        <v>155</v>
      </c>
      <c r="G1170" s="192">
        <f t="shared" si="24"/>
        <v>86985.216</v>
      </c>
    </row>
    <row r="1171" spans="1:7" s="330" customFormat="1" ht="18">
      <c r="A1171" s="174"/>
      <c r="B1171" s="174">
        <v>18</v>
      </c>
      <c r="C1171" s="273" t="s">
        <v>1558</v>
      </c>
      <c r="D1171" s="273" t="s">
        <v>1559</v>
      </c>
      <c r="E1171" s="305">
        <v>120</v>
      </c>
      <c r="F1171" s="174" t="s">
        <v>1558</v>
      </c>
      <c r="G1171" s="192">
        <f t="shared" si="24"/>
        <v>2160</v>
      </c>
    </row>
    <row r="1172" spans="1:7" s="330" customFormat="1" ht="18">
      <c r="A1172" s="174"/>
      <c r="B1172" s="174">
        <v>300</v>
      </c>
      <c r="C1172" s="273" t="s">
        <v>155</v>
      </c>
      <c r="D1172" s="273" t="s">
        <v>1560</v>
      </c>
      <c r="E1172" s="305">
        <f>G1160</f>
        <v>86.956312499999996</v>
      </c>
      <c r="F1172" s="174" t="s">
        <v>155</v>
      </c>
      <c r="G1172" s="192">
        <f t="shared" si="24"/>
        <v>26086.893749999999</v>
      </c>
    </row>
    <row r="1173" spans="1:7" s="330" customFormat="1" ht="18">
      <c r="A1173" s="174"/>
      <c r="B1173" s="174">
        <v>300</v>
      </c>
      <c r="C1173" s="273" t="s">
        <v>155</v>
      </c>
      <c r="D1173" s="273" t="s">
        <v>1561</v>
      </c>
      <c r="E1173" s="305">
        <f>G1166</f>
        <v>25.903919999999999</v>
      </c>
      <c r="F1173" s="174" t="s">
        <v>155</v>
      </c>
      <c r="G1173" s="192">
        <f t="shared" si="24"/>
        <v>7771.1759999999995</v>
      </c>
    </row>
    <row r="1174" spans="1:7" s="330" customFormat="1" ht="18">
      <c r="A1174" s="174"/>
      <c r="B1174" s="174"/>
      <c r="C1174" s="273"/>
      <c r="D1174" s="273" t="s">
        <v>520</v>
      </c>
      <c r="E1174" s="305"/>
      <c r="F1174" s="174"/>
      <c r="G1174" s="192">
        <f>SUM(G1168:G1173)</f>
        <v>431702.80860714283</v>
      </c>
    </row>
    <row r="1175" spans="1:7" s="330" customFormat="1" ht="18">
      <c r="A1175" s="174"/>
      <c r="B1175" s="174"/>
      <c r="C1175" s="273"/>
      <c r="D1175" s="304" t="s">
        <v>153</v>
      </c>
      <c r="E1175" s="305"/>
      <c r="F1175" s="174"/>
      <c r="G1175" s="332">
        <f>ROUND((G1174/300),0)</f>
        <v>1439</v>
      </c>
    </row>
    <row r="1176" spans="1:7" ht="18">
      <c r="A1176" s="174"/>
      <c r="B1176" s="177"/>
      <c r="C1176" s="273"/>
      <c r="D1176" s="273"/>
      <c r="E1176" s="273"/>
      <c r="F1176" s="174"/>
      <c r="G1176" s="306"/>
    </row>
    <row r="1177" spans="1:7" ht="234">
      <c r="A1177" s="174" t="s">
        <v>69</v>
      </c>
      <c r="B1177" s="177">
        <v>1</v>
      </c>
      <c r="C1177" s="273" t="s">
        <v>9</v>
      </c>
      <c r="D1177" s="273" t="str">
        <f>'BOQ-C&amp;I'!C266</f>
        <v>Supplying and laying hydraulic pressed rubber moulded paver Block (zig zag and  'I' block etc.,) of made from M40 concrete  - 63 mm thick including  transportation of the blocks to the site. Preparation of surface including supplying and filling with M.sand to 50 mm thick, levelling and compacting with plate vibrator and laying of the inter locking paving blocks with sand binding and final compaction with plate vibrator of 3 tonne capacity finishing the surface including cutting of blocks at the edges including all labour, materials, transportation, shifting etc. as complete with all respects complying with relevant standard specification as directed by the departmental officers.</v>
      </c>
      <c r="E1177" s="273"/>
      <c r="F1177" s="174"/>
      <c r="G1177" s="306"/>
    </row>
    <row r="1178" spans="1:7" s="311" customFormat="1" ht="18">
      <c r="A1178" s="333"/>
      <c r="B1178" s="169"/>
      <c r="C1178" s="334"/>
      <c r="D1178" s="223" t="s">
        <v>1272</v>
      </c>
      <c r="E1178" s="335"/>
      <c r="F1178" s="334"/>
      <c r="G1178" s="335"/>
    </row>
    <row r="1179" spans="1:7" s="311" customFormat="1" ht="36">
      <c r="A1179" s="333"/>
      <c r="B1179" s="336">
        <v>10</v>
      </c>
      <c r="C1179" s="269" t="s">
        <v>917</v>
      </c>
      <c r="D1179" s="337" t="s">
        <v>1562</v>
      </c>
      <c r="E1179" s="335">
        <v>459</v>
      </c>
      <c r="F1179" s="269" t="s">
        <v>917</v>
      </c>
      <c r="G1179" s="335">
        <f>B1179*E1179</f>
        <v>4590</v>
      </c>
    </row>
    <row r="1180" spans="1:7" s="311" customFormat="1" ht="18">
      <c r="A1180" s="333"/>
      <c r="B1180" s="336">
        <v>1.8</v>
      </c>
      <c r="C1180" s="269" t="s">
        <v>51</v>
      </c>
      <c r="D1180" s="338" t="s">
        <v>1273</v>
      </c>
      <c r="E1180" s="335">
        <f>Labour!E4</f>
        <v>947</v>
      </c>
      <c r="F1180" s="269" t="s">
        <v>202</v>
      </c>
      <c r="G1180" s="335">
        <f t="shared" ref="G1180:G1185" si="25">B1180*E1180</f>
        <v>1704.6000000000001</v>
      </c>
    </row>
    <row r="1181" spans="1:7" s="311" customFormat="1" ht="18">
      <c r="A1181" s="333"/>
      <c r="B1181" s="336">
        <v>3.6</v>
      </c>
      <c r="C1181" s="269" t="s">
        <v>51</v>
      </c>
      <c r="D1181" s="338" t="s">
        <v>1274</v>
      </c>
      <c r="E1181" s="335">
        <f>Labour!E5</f>
        <v>884</v>
      </c>
      <c r="F1181" s="269" t="s">
        <v>202</v>
      </c>
      <c r="G1181" s="335">
        <f t="shared" si="25"/>
        <v>3182.4</v>
      </c>
    </row>
    <row r="1182" spans="1:7" s="311" customFormat="1" ht="18">
      <c r="A1182" s="333"/>
      <c r="B1182" s="336">
        <v>2.2000000000000002</v>
      </c>
      <c r="C1182" s="269" t="s">
        <v>51</v>
      </c>
      <c r="D1182" s="338" t="s">
        <v>1275</v>
      </c>
      <c r="E1182" s="335">
        <f>Labour!E6</f>
        <v>618</v>
      </c>
      <c r="F1182" s="269" t="s">
        <v>202</v>
      </c>
      <c r="G1182" s="335">
        <f t="shared" si="25"/>
        <v>1359.6000000000001</v>
      </c>
    </row>
    <row r="1183" spans="1:7" s="311" customFormat="1" ht="18">
      <c r="A1183" s="333"/>
      <c r="B1183" s="336">
        <v>2.2000000000000002</v>
      </c>
      <c r="C1183" s="269" t="s">
        <v>51</v>
      </c>
      <c r="D1183" s="338" t="s">
        <v>1276</v>
      </c>
      <c r="E1183" s="335">
        <f>Labour!E7</f>
        <v>507</v>
      </c>
      <c r="F1183" s="269" t="s">
        <v>202</v>
      </c>
      <c r="G1183" s="335">
        <f t="shared" si="25"/>
        <v>1115.4000000000001</v>
      </c>
    </row>
    <row r="1184" spans="1:7" s="311" customFormat="1" ht="18">
      <c r="A1184" s="333"/>
      <c r="B1184" s="336">
        <v>0.5</v>
      </c>
      <c r="C1184" s="269" t="s">
        <v>51</v>
      </c>
      <c r="D1184" s="338" t="s">
        <v>1277</v>
      </c>
      <c r="E1184" s="335">
        <f>Labour!E17</f>
        <v>700</v>
      </c>
      <c r="F1184" s="269" t="s">
        <v>202</v>
      </c>
      <c r="G1184" s="335">
        <f t="shared" si="25"/>
        <v>350</v>
      </c>
    </row>
    <row r="1185" spans="1:7" s="311" customFormat="1" ht="18">
      <c r="A1185" s="333"/>
      <c r="B1185" s="269">
        <v>0.08</v>
      </c>
      <c r="C1185" s="269" t="s">
        <v>1278</v>
      </c>
      <c r="D1185" s="337" t="s">
        <v>1279</v>
      </c>
      <c r="E1185" s="335">
        <f>'Lead Statement'!I5</f>
        <v>1446.08</v>
      </c>
      <c r="F1185" s="269" t="s">
        <v>1278</v>
      </c>
      <c r="G1185" s="335">
        <f t="shared" si="25"/>
        <v>115.68639999999999</v>
      </c>
    </row>
    <row r="1186" spans="1:7" s="311" customFormat="1" ht="18">
      <c r="A1186" s="333"/>
      <c r="B1186" s="169"/>
      <c r="C1186" s="334" t="s">
        <v>159</v>
      </c>
      <c r="D1186" s="337" t="s">
        <v>1280</v>
      </c>
      <c r="E1186" s="335"/>
      <c r="F1186" s="334" t="s">
        <v>159</v>
      </c>
      <c r="G1186" s="335">
        <v>100</v>
      </c>
    </row>
    <row r="1187" spans="1:7" s="311" customFormat="1" ht="18">
      <c r="A1187" s="333"/>
      <c r="B1187" s="169"/>
      <c r="C1187" s="334"/>
      <c r="D1187" s="339" t="s">
        <v>1281</v>
      </c>
      <c r="E1187" s="335"/>
      <c r="F1187" s="334"/>
      <c r="G1187" s="340">
        <f>SUM(G1179:G1186)</f>
        <v>12517.686400000001</v>
      </c>
    </row>
    <row r="1188" spans="1:7" s="311" customFormat="1" ht="18">
      <c r="A1188" s="333"/>
      <c r="B1188" s="169"/>
      <c r="C1188" s="334"/>
      <c r="D1188" s="339" t="s">
        <v>1282</v>
      </c>
      <c r="E1188" s="335"/>
      <c r="F1188" s="334"/>
      <c r="G1188" s="340">
        <f>G1187/10</f>
        <v>1251.76864</v>
      </c>
    </row>
    <row r="1189" spans="1:7" ht="252">
      <c r="A1189" s="329" t="s">
        <v>68</v>
      </c>
      <c r="B1189" s="177"/>
      <c r="C1189" s="273"/>
      <c r="D1189" s="273" t="str">
        <f>'BOQ-C&amp;I'!C267</f>
        <v>Providing and fixing vacuum wet press concrete precast Splay kerb to shape by using reinforced cement concrete M20 grade road kerbs of size 150X375X600 mm made to shape using 20 mm down size Coarse graded Basalt aggregate including form work and nominal reinforcement of Fe 415 grade, 12 mm dia at 150 c/c with 8 mm dia stirrups at 150 mm c/c fixing in cement concrete 1:3:6 nominal mix (one cement, three sand and six hard stone jelly) including all materials and labour components, laying, finishing, curing and the pointing exposed faces with C.M 1:3 (one cement and three M.sand) and colour washing with acrylic emulsion over a coat of primer etc. as complete with all respects complying with relevant standard specification as directed by the departmental officers.</v>
      </c>
      <c r="E1189" s="305"/>
      <c r="F1189" s="174"/>
      <c r="G1189" s="306"/>
    </row>
    <row r="1190" spans="1:7" ht="18">
      <c r="A1190" s="174"/>
      <c r="B1190" s="177">
        <v>1</v>
      </c>
      <c r="C1190" s="273" t="s">
        <v>33</v>
      </c>
      <c r="D1190" s="223" t="s">
        <v>1877</v>
      </c>
      <c r="E1190" s="305">
        <f>'Comparison - Annexure 04'!K79</f>
        <v>1350</v>
      </c>
      <c r="F1190" s="174" t="s">
        <v>33</v>
      </c>
      <c r="G1190" s="346">
        <f t="shared" ref="G1190" si="26">E1190*B1190</f>
        <v>1350</v>
      </c>
    </row>
    <row r="1191" spans="1:7" ht="18">
      <c r="A1191" s="174"/>
      <c r="B1191" s="177"/>
      <c r="C1191" s="273"/>
      <c r="D1191" s="164" t="s">
        <v>1736</v>
      </c>
      <c r="E1191" s="305"/>
      <c r="F1191" s="174"/>
      <c r="G1191" s="346"/>
    </row>
    <row r="1192" spans="1:7" ht="18">
      <c r="A1192" s="462">
        <v>9</v>
      </c>
      <c r="B1192" s="409"/>
      <c r="C1192" s="410"/>
      <c r="D1192" s="304" t="s">
        <v>1857</v>
      </c>
      <c r="E1192" s="170"/>
      <c r="F1192" s="410"/>
      <c r="G1192" s="461"/>
    </row>
    <row r="1193" spans="1:7" ht="162">
      <c r="A1193" s="273"/>
      <c r="B1193" s="273"/>
      <c r="C1193" s="273"/>
      <c r="D1193" s="273" t="s">
        <v>1845</v>
      </c>
      <c r="E1193" s="273"/>
      <c r="F1193" s="273"/>
      <c r="G1193" s="273"/>
    </row>
    <row r="1194" spans="1:7" ht="36">
      <c r="A1194" s="273"/>
      <c r="B1194" s="273"/>
      <c r="C1194" s="273"/>
      <c r="D1194" s="273" t="s">
        <v>1850</v>
      </c>
      <c r="E1194" s="273"/>
      <c r="F1194" s="273"/>
      <c r="G1194" s="273"/>
    </row>
    <row r="1195" spans="1:7" ht="18">
      <c r="A1195" s="273"/>
      <c r="B1195" s="174">
        <v>1.8</v>
      </c>
      <c r="C1195" s="174" t="s">
        <v>162</v>
      </c>
      <c r="D1195" s="273" t="s">
        <v>1851</v>
      </c>
      <c r="E1195" s="305">
        <f>Material!D23</f>
        <v>22.6</v>
      </c>
      <c r="F1195" s="174" t="s">
        <v>162</v>
      </c>
      <c r="G1195" s="306">
        <f t="shared" ref="G1195:G1203" si="27">E1195*B1195</f>
        <v>40.680000000000007</v>
      </c>
    </row>
    <row r="1196" spans="1:7" ht="18">
      <c r="A1196" s="273"/>
      <c r="B1196" s="174">
        <v>0.25</v>
      </c>
      <c r="C1196" s="174" t="s">
        <v>51</v>
      </c>
      <c r="D1196" s="273" t="s">
        <v>1852</v>
      </c>
      <c r="E1196" s="305">
        <f>Labour!E8</f>
        <v>756</v>
      </c>
      <c r="F1196" s="174" t="s">
        <v>51</v>
      </c>
      <c r="G1196" s="306">
        <f t="shared" si="27"/>
        <v>189</v>
      </c>
    </row>
    <row r="1197" spans="1:7" ht="18">
      <c r="A1197" s="273"/>
      <c r="B1197" s="174">
        <v>0.25</v>
      </c>
      <c r="C1197" s="174" t="s">
        <v>51</v>
      </c>
      <c r="D1197" s="273" t="s">
        <v>1853</v>
      </c>
      <c r="E1197" s="305">
        <f>Labour!E6</f>
        <v>618</v>
      </c>
      <c r="F1197" s="174" t="s">
        <v>51</v>
      </c>
      <c r="G1197" s="306">
        <f t="shared" si="27"/>
        <v>154.5</v>
      </c>
    </row>
    <row r="1198" spans="1:7" ht="18">
      <c r="A1198" s="273"/>
      <c r="B1198" s="174">
        <v>0.4</v>
      </c>
      <c r="C1198" s="174" t="s">
        <v>51</v>
      </c>
      <c r="D1198" s="273" t="s">
        <v>203</v>
      </c>
      <c r="E1198" s="305">
        <f>Labour!E7</f>
        <v>507</v>
      </c>
      <c r="F1198" s="174" t="s">
        <v>51</v>
      </c>
      <c r="G1198" s="306">
        <f t="shared" si="27"/>
        <v>202.8</v>
      </c>
    </row>
    <row r="1199" spans="1:7" ht="18">
      <c r="A1199" s="273"/>
      <c r="B1199" s="273"/>
      <c r="C1199" s="273"/>
      <c r="D1199" s="273"/>
      <c r="E1199" s="305"/>
      <c r="F1199" s="273"/>
      <c r="G1199" s="306"/>
    </row>
    <row r="1200" spans="1:7" ht="18">
      <c r="A1200" s="273"/>
      <c r="B1200" s="174">
        <v>3</v>
      </c>
      <c r="C1200" s="174" t="s">
        <v>162</v>
      </c>
      <c r="D1200" s="273" t="s">
        <v>1854</v>
      </c>
      <c r="E1200" s="305">
        <f>Material!D61</f>
        <v>49.85</v>
      </c>
      <c r="F1200" s="174" t="s">
        <v>162</v>
      </c>
      <c r="G1200" s="306">
        <f t="shared" si="27"/>
        <v>149.55000000000001</v>
      </c>
    </row>
    <row r="1201" spans="1:7" ht="18">
      <c r="A1201" s="273"/>
      <c r="B1201" s="174">
        <v>0.5</v>
      </c>
      <c r="C1201" s="174" t="s">
        <v>51</v>
      </c>
      <c r="D1201" s="273" t="s">
        <v>1852</v>
      </c>
      <c r="E1201" s="305">
        <f>Labour!E8</f>
        <v>756</v>
      </c>
      <c r="F1201" s="174" t="s">
        <v>51</v>
      </c>
      <c r="G1201" s="306">
        <f t="shared" si="27"/>
        <v>378</v>
      </c>
    </row>
    <row r="1202" spans="1:7" ht="18">
      <c r="A1202" s="273"/>
      <c r="B1202" s="174">
        <v>0.5</v>
      </c>
      <c r="C1202" s="174" t="s">
        <v>51</v>
      </c>
      <c r="D1202" s="273" t="s">
        <v>1853</v>
      </c>
      <c r="E1202" s="305">
        <f>Labour!E6</f>
        <v>618</v>
      </c>
      <c r="F1202" s="174" t="s">
        <v>51</v>
      </c>
      <c r="G1202" s="306">
        <f t="shared" si="27"/>
        <v>309</v>
      </c>
    </row>
    <row r="1203" spans="1:7" ht="18">
      <c r="A1203" s="273"/>
      <c r="B1203" s="174">
        <v>0.8</v>
      </c>
      <c r="C1203" s="174" t="s">
        <v>51</v>
      </c>
      <c r="D1203" s="273" t="s">
        <v>203</v>
      </c>
      <c r="E1203" s="305">
        <f>Labour!E7</f>
        <v>507</v>
      </c>
      <c r="F1203" s="174" t="s">
        <v>51</v>
      </c>
      <c r="G1203" s="306">
        <f t="shared" si="27"/>
        <v>405.6</v>
      </c>
    </row>
    <row r="1204" spans="1:7" ht="18">
      <c r="A1204" s="273"/>
      <c r="B1204" s="273"/>
      <c r="C1204" s="273"/>
      <c r="D1204" s="273" t="s">
        <v>1855</v>
      </c>
      <c r="E1204" s="273"/>
      <c r="F1204" s="273"/>
      <c r="G1204" s="305">
        <v>1.9</v>
      </c>
    </row>
    <row r="1205" spans="1:7" ht="18">
      <c r="A1205" s="273"/>
      <c r="B1205" s="273"/>
      <c r="C1205" s="273"/>
      <c r="D1205" s="339" t="s">
        <v>1281</v>
      </c>
      <c r="E1205" s="273"/>
      <c r="F1205" s="273"/>
      <c r="G1205" s="463">
        <f>SUM(G1195:G1204)</f>
        <v>1831.0300000000002</v>
      </c>
    </row>
    <row r="1206" spans="1:7" ht="18">
      <c r="A1206" s="273"/>
      <c r="B1206" s="273"/>
      <c r="C1206" s="273"/>
      <c r="D1206" s="339" t="s">
        <v>1282</v>
      </c>
      <c r="E1206" s="273"/>
      <c r="F1206" s="273"/>
      <c r="G1206" s="464">
        <f>G1205/10</f>
        <v>183.10300000000001</v>
      </c>
    </row>
    <row r="1207" spans="1:7" ht="18">
      <c r="A1207" s="273"/>
      <c r="B1207" s="273"/>
      <c r="C1207" s="273"/>
      <c r="D1207" s="339"/>
      <c r="E1207" s="273"/>
      <c r="F1207" s="273"/>
      <c r="G1207" s="464"/>
    </row>
    <row r="1208" spans="1:7" ht="18">
      <c r="A1208" s="174">
        <v>10</v>
      </c>
      <c r="B1208" s="329"/>
      <c r="C1208" s="329"/>
      <c r="D1208" s="381" t="s">
        <v>1846</v>
      </c>
      <c r="E1208" s="273"/>
      <c r="F1208" s="273"/>
      <c r="G1208" s="273"/>
    </row>
    <row r="1209" spans="1:7" ht="36">
      <c r="A1209" s="273"/>
      <c r="B1209" s="273"/>
      <c r="C1209" s="273"/>
      <c r="D1209" s="273" t="s">
        <v>1847</v>
      </c>
      <c r="E1209" s="273"/>
      <c r="F1209" s="273"/>
      <c r="G1209" s="273"/>
    </row>
    <row r="1210" spans="1:7" ht="162">
      <c r="A1210" s="273"/>
      <c r="B1210" s="273"/>
      <c r="C1210" s="273"/>
      <c r="D1210" s="273" t="s">
        <v>1848</v>
      </c>
      <c r="E1210" s="273"/>
      <c r="F1210" s="273"/>
      <c r="G1210" s="273"/>
    </row>
    <row r="1211" spans="1:7" ht="72">
      <c r="A1211" s="273"/>
      <c r="B1211" s="273"/>
      <c r="C1211" s="273"/>
      <c r="D1211" s="273" t="s">
        <v>1849</v>
      </c>
      <c r="E1211" s="273"/>
      <c r="F1211" s="273"/>
      <c r="G1211" s="273"/>
    </row>
    <row r="1212" spans="1:7" ht="18">
      <c r="A1212" s="273"/>
      <c r="B1212" s="174">
        <v>1</v>
      </c>
      <c r="C1212" s="273" t="s">
        <v>9</v>
      </c>
      <c r="D1212" s="273" t="s">
        <v>1906</v>
      </c>
      <c r="E1212" s="305">
        <f>'Comparison - Annexure 06'!K8</f>
        <v>3000</v>
      </c>
      <c r="F1212" s="273" t="s">
        <v>9</v>
      </c>
      <c r="G1212" s="306">
        <f t="shared" ref="G1212" si="28">E1212*B1212</f>
        <v>3000</v>
      </c>
    </row>
    <row r="1213" spans="1:7" ht="18">
      <c r="E1213" s="408"/>
    </row>
    <row r="1214" spans="1:7" ht="18">
      <c r="E1214" s="408"/>
    </row>
    <row r="1215" spans="1:7" ht="18">
      <c r="E1215" s="408"/>
    </row>
    <row r="1216" spans="1:7" ht="18">
      <c r="E1216" s="408"/>
    </row>
    <row r="1217" spans="5:5" ht="18">
      <c r="E1217" s="408"/>
    </row>
    <row r="1218" spans="5:5" ht="18">
      <c r="E1218" s="408"/>
    </row>
    <row r="1219" spans="5:5" ht="18">
      <c r="E1219" s="408"/>
    </row>
    <row r="1220" spans="5:5" ht="18">
      <c r="E1220" s="408"/>
    </row>
    <row r="1221" spans="5:5" ht="18">
      <c r="E1221" s="408"/>
    </row>
    <row r="1222" spans="5:5" ht="18">
      <c r="E1222" s="408"/>
    </row>
    <row r="1223" spans="5:5" ht="18">
      <c r="E1223" s="408"/>
    </row>
    <row r="1224" spans="5:5" ht="18">
      <c r="E1224" s="408"/>
    </row>
    <row r="1225" spans="5:5" ht="18">
      <c r="E1225" s="408"/>
    </row>
    <row r="1226" spans="5:5" ht="18">
      <c r="E1226" s="408"/>
    </row>
    <row r="1227" spans="5:5" ht="18">
      <c r="E1227" s="408"/>
    </row>
    <row r="1228" spans="5:5" ht="18">
      <c r="E1228" s="408"/>
    </row>
    <row r="1229" spans="5:5" ht="18">
      <c r="E1229" s="408"/>
    </row>
    <row r="1230" spans="5:5" ht="18">
      <c r="E1230" s="408"/>
    </row>
    <row r="1231" spans="5:5" ht="18">
      <c r="E1231" s="408"/>
    </row>
    <row r="1232" spans="5:5" ht="18">
      <c r="E1232" s="408"/>
    </row>
    <row r="1233" spans="5:5" ht="18">
      <c r="E1233" s="408"/>
    </row>
    <row r="1234" spans="5:5" ht="18">
      <c r="E1234" s="408"/>
    </row>
    <row r="1235" spans="5:5" ht="18">
      <c r="E1235" s="408"/>
    </row>
    <row r="1236" spans="5:5" ht="18">
      <c r="E1236" s="408"/>
    </row>
    <row r="1237" spans="5:5" ht="18">
      <c r="E1237" s="408"/>
    </row>
    <row r="1238" spans="5:5" ht="18">
      <c r="E1238" s="408"/>
    </row>
    <row r="1239" spans="5:5" ht="18">
      <c r="E1239" s="408"/>
    </row>
    <row r="1240" spans="5:5" ht="18">
      <c r="E1240" s="408"/>
    </row>
    <row r="1241" spans="5:5" ht="18">
      <c r="E1241" s="408"/>
    </row>
    <row r="1242" spans="5:5" ht="18">
      <c r="E1242" s="408"/>
    </row>
    <row r="1243" spans="5:5" ht="18">
      <c r="E1243" s="408"/>
    </row>
    <row r="1244" spans="5:5" ht="18">
      <c r="E1244" s="408"/>
    </row>
    <row r="1245" spans="5:5" ht="18">
      <c r="E1245" s="408"/>
    </row>
    <row r="1246" spans="5:5" ht="18">
      <c r="E1246" s="408"/>
    </row>
    <row r="1247" spans="5:5" ht="18">
      <c r="E1247" s="408"/>
    </row>
    <row r="1248" spans="5:5" ht="18">
      <c r="E1248" s="408"/>
    </row>
    <row r="1249" spans="5:5" ht="18">
      <c r="E1249" s="408"/>
    </row>
    <row r="1250" spans="5:5" ht="18">
      <c r="E1250" s="408"/>
    </row>
    <row r="1251" spans="5:5" ht="18">
      <c r="E1251" s="408"/>
    </row>
    <row r="1252" spans="5:5" ht="18">
      <c r="E1252" s="408"/>
    </row>
    <row r="1253" spans="5:5" ht="18">
      <c r="E1253" s="408"/>
    </row>
    <row r="1254" spans="5:5" ht="18">
      <c r="E1254" s="408"/>
    </row>
    <row r="1255" spans="5:5" ht="18">
      <c r="E1255" s="408"/>
    </row>
    <row r="1256" spans="5:5" ht="18">
      <c r="E1256" s="408"/>
    </row>
    <row r="1257" spans="5:5" ht="18">
      <c r="E1257" s="408"/>
    </row>
    <row r="1258" spans="5:5" ht="18">
      <c r="E1258" s="408"/>
    </row>
    <row r="1259" spans="5:5" ht="18">
      <c r="E1259" s="408"/>
    </row>
    <row r="1260" spans="5:5" ht="18">
      <c r="E1260" s="408"/>
    </row>
    <row r="1261" spans="5:5" ht="18">
      <c r="E1261" s="408"/>
    </row>
  </sheetData>
  <mergeCells count="2">
    <mergeCell ref="A1:G1"/>
    <mergeCell ref="A2:G2"/>
  </mergeCells>
  <printOptions horizontalCentered="1"/>
  <pageMargins left="0.59055118110236204" right="0.39370078740157499" top="0.74803149606299202" bottom="0.74803149606299202" header="0.31496062992126" footer="0.31496062992126"/>
  <pageSetup paperSize="9" scale="48" firstPageNumber="71" fitToWidth="0" fitToHeight="0" orientation="portrait" r:id="rId1"/>
  <headerFooter scaleWithDoc="0">
    <oddHeader>&amp;LProposed Working Women's Hostels for TNWWHSB at Tiruvannamalai.&amp;R&amp;A</oddHeader>
    <oddFooter>&amp;L&amp;"Verdana,Regular"&amp;10DIUS Design Consultants Pvt Ltd&amp;C&amp;"Verdana,Regular"&amp;10&amp;P of &amp;N&amp;R&amp;"Verdana,Regular"&amp;10Knight Frank (India) Pvt Ltd</oddFooter>
  </headerFooter>
  <rowBreaks count="9" manualBreakCount="9">
    <brk id="406" max="6" man="1"/>
    <brk id="492" max="6" man="1"/>
    <brk id="544" max="6" man="1"/>
    <brk id="600" max="6" man="1"/>
    <brk id="852" max="6" man="1"/>
    <brk id="1022" max="6" man="1"/>
    <brk id="1087" max="6" man="1"/>
    <brk id="1140" max="6" man="1"/>
    <brk id="1190" max="6" man="1"/>
  </rowBreaks>
  <ignoredErrors>
    <ignoredError sqref="G332 E774" formula="1"/>
  </ignoredErrors>
  <drawing r:id="rId2"/>
</worksheet>
</file>

<file path=xl/worksheets/sheet6.xml><?xml version="1.0" encoding="utf-8"?>
<worksheet xmlns="http://schemas.openxmlformats.org/spreadsheetml/2006/main" xmlns:r="http://schemas.openxmlformats.org/officeDocument/2006/relationships">
  <dimension ref="A1:F50"/>
  <sheetViews>
    <sheetView view="pageBreakPreview" zoomScale="85" zoomScaleSheetLayoutView="85" workbookViewId="0">
      <pane xSplit="1" ySplit="3" topLeftCell="B4" activePane="bottomRight" state="frozen"/>
      <selection activeCell="E40" sqref="E40"/>
      <selection pane="topRight" activeCell="E40" sqref="E40"/>
      <selection pane="bottomLeft" activeCell="E40" sqref="E40"/>
      <selection pane="bottomRight" sqref="A1:F1"/>
    </sheetView>
  </sheetViews>
  <sheetFormatPr defaultColWidth="9.140625" defaultRowHeight="14.25"/>
  <cols>
    <col min="1" max="1" width="6.140625" style="191" bestFit="1" customWidth="1"/>
    <col min="2" max="2" width="50.7109375" style="185" customWidth="1"/>
    <col min="3" max="5" width="10.7109375" style="185" customWidth="1"/>
    <col min="6" max="6" width="25.7109375" style="185" customWidth="1"/>
    <col min="7" max="16384" width="9.140625" style="185"/>
  </cols>
  <sheetData>
    <row r="1" spans="1:6" s="180" customFormat="1" ht="42" customHeight="1">
      <c r="A1" s="756" t="str">
        <f>Summary!A1</f>
        <v>Estimate for construction of Proposed Working Women's Hostels at Tiruvannamalai.</v>
      </c>
      <c r="B1" s="757"/>
      <c r="C1" s="757"/>
      <c r="D1" s="757"/>
      <c r="E1" s="757"/>
      <c r="F1" s="758"/>
    </row>
    <row r="2" spans="1:6" s="180" customFormat="1" ht="30" customHeight="1">
      <c r="A2" s="759" t="s">
        <v>673</v>
      </c>
      <c r="B2" s="760"/>
      <c r="C2" s="760"/>
      <c r="D2" s="760"/>
      <c r="E2" s="760"/>
      <c r="F2" s="761"/>
    </row>
    <row r="3" spans="1:6" ht="30" customHeight="1">
      <c r="A3" s="181" t="s">
        <v>0</v>
      </c>
      <c r="B3" s="182" t="s">
        <v>461</v>
      </c>
      <c r="C3" s="183" t="s">
        <v>460</v>
      </c>
      <c r="D3" s="17">
        <v>0</v>
      </c>
      <c r="E3" s="183" t="s">
        <v>460</v>
      </c>
      <c r="F3" s="184" t="s">
        <v>416</v>
      </c>
    </row>
    <row r="4" spans="1:6" ht="30" customHeight="1">
      <c r="A4" s="127">
        <v>1</v>
      </c>
      <c r="B4" s="123" t="s">
        <v>459</v>
      </c>
      <c r="C4" s="124">
        <v>947</v>
      </c>
      <c r="D4" s="124">
        <f t="shared" ref="D4:D30" si="0">C4*D$3</f>
        <v>0</v>
      </c>
      <c r="E4" s="125">
        <f t="shared" ref="E4:E27" si="1">D4+C4</f>
        <v>947</v>
      </c>
      <c r="F4" s="126" t="s">
        <v>694</v>
      </c>
    </row>
    <row r="5" spans="1:6" ht="30" customHeight="1">
      <c r="A5" s="127">
        <f>A4+1</f>
        <v>2</v>
      </c>
      <c r="B5" s="123" t="s">
        <v>458</v>
      </c>
      <c r="C5" s="124">
        <v>884</v>
      </c>
      <c r="D5" s="124">
        <f t="shared" si="0"/>
        <v>0</v>
      </c>
      <c r="E5" s="124">
        <f t="shared" si="1"/>
        <v>884</v>
      </c>
      <c r="F5" s="126" t="s">
        <v>680</v>
      </c>
    </row>
    <row r="6" spans="1:6" ht="30" customHeight="1">
      <c r="A6" s="127">
        <f t="shared" ref="A6:A24" si="2">A5+1</f>
        <v>3</v>
      </c>
      <c r="B6" s="123" t="s">
        <v>457</v>
      </c>
      <c r="C6" s="124">
        <v>618</v>
      </c>
      <c r="D6" s="124">
        <f t="shared" si="0"/>
        <v>0</v>
      </c>
      <c r="E6" s="124">
        <f t="shared" si="1"/>
        <v>618</v>
      </c>
      <c r="F6" s="126" t="s">
        <v>972</v>
      </c>
    </row>
    <row r="7" spans="1:6" ht="30" customHeight="1">
      <c r="A7" s="127">
        <f t="shared" si="2"/>
        <v>4</v>
      </c>
      <c r="B7" s="123" t="s">
        <v>456</v>
      </c>
      <c r="C7" s="124">
        <v>507</v>
      </c>
      <c r="D7" s="124">
        <f t="shared" si="0"/>
        <v>0</v>
      </c>
      <c r="E7" s="124">
        <f t="shared" si="1"/>
        <v>507</v>
      </c>
      <c r="F7" s="126" t="s">
        <v>973</v>
      </c>
    </row>
    <row r="8" spans="1:6" ht="30" customHeight="1">
      <c r="A8" s="127">
        <f t="shared" si="2"/>
        <v>5</v>
      </c>
      <c r="B8" s="123" t="s">
        <v>455</v>
      </c>
      <c r="C8" s="124">
        <v>756</v>
      </c>
      <c r="D8" s="124">
        <f t="shared" si="0"/>
        <v>0</v>
      </c>
      <c r="E8" s="124">
        <f t="shared" si="1"/>
        <v>756</v>
      </c>
      <c r="F8" s="126" t="s">
        <v>726</v>
      </c>
    </row>
    <row r="9" spans="1:6" ht="30" customHeight="1">
      <c r="A9" s="127">
        <f t="shared" si="2"/>
        <v>6</v>
      </c>
      <c r="B9" s="123" t="s">
        <v>454</v>
      </c>
      <c r="C9" s="124">
        <v>732</v>
      </c>
      <c r="D9" s="124">
        <f t="shared" si="0"/>
        <v>0</v>
      </c>
      <c r="E9" s="124">
        <f t="shared" si="1"/>
        <v>732</v>
      </c>
      <c r="F9" s="126" t="s">
        <v>727</v>
      </c>
    </row>
    <row r="10" spans="1:6" ht="30" customHeight="1">
      <c r="A10" s="127">
        <f t="shared" si="2"/>
        <v>7</v>
      </c>
      <c r="B10" s="123" t="s">
        <v>453</v>
      </c>
      <c r="C10" s="124">
        <v>821</v>
      </c>
      <c r="D10" s="124">
        <f t="shared" si="0"/>
        <v>0</v>
      </c>
      <c r="E10" s="124">
        <f t="shared" si="1"/>
        <v>821</v>
      </c>
      <c r="F10" s="126" t="s">
        <v>745</v>
      </c>
    </row>
    <row r="11" spans="1:6" ht="30" customHeight="1">
      <c r="A11" s="127">
        <f t="shared" si="2"/>
        <v>8</v>
      </c>
      <c r="B11" s="123" t="s">
        <v>452</v>
      </c>
      <c r="C11" s="124">
        <v>796</v>
      </c>
      <c r="D11" s="124">
        <f t="shared" si="0"/>
        <v>0</v>
      </c>
      <c r="E11" s="124">
        <f t="shared" si="1"/>
        <v>796</v>
      </c>
      <c r="F11" s="126" t="s">
        <v>1664</v>
      </c>
    </row>
    <row r="12" spans="1:6" ht="30" customHeight="1">
      <c r="A12" s="127">
        <f t="shared" si="2"/>
        <v>9</v>
      </c>
      <c r="B12" s="123" t="s">
        <v>451</v>
      </c>
      <c r="C12" s="124">
        <v>836</v>
      </c>
      <c r="D12" s="124">
        <f t="shared" si="0"/>
        <v>0</v>
      </c>
      <c r="E12" s="124">
        <f t="shared" si="1"/>
        <v>836</v>
      </c>
      <c r="F12" s="126" t="s">
        <v>450</v>
      </c>
    </row>
    <row r="13" spans="1:6" ht="30" customHeight="1">
      <c r="A13" s="127">
        <f t="shared" si="2"/>
        <v>10</v>
      </c>
      <c r="B13" s="123" t="s">
        <v>449</v>
      </c>
      <c r="C13" s="124">
        <v>812</v>
      </c>
      <c r="D13" s="124">
        <f t="shared" si="0"/>
        <v>0</v>
      </c>
      <c r="E13" s="124">
        <f t="shared" si="1"/>
        <v>812</v>
      </c>
      <c r="F13" s="126" t="s">
        <v>707</v>
      </c>
    </row>
    <row r="14" spans="1:6" ht="30" customHeight="1">
      <c r="A14" s="127">
        <f t="shared" si="2"/>
        <v>11</v>
      </c>
      <c r="B14" s="123" t="s">
        <v>448</v>
      </c>
      <c r="C14" s="124">
        <v>926</v>
      </c>
      <c r="D14" s="124">
        <f t="shared" si="0"/>
        <v>0</v>
      </c>
      <c r="E14" s="124">
        <f t="shared" si="1"/>
        <v>926</v>
      </c>
      <c r="F14" s="126" t="s">
        <v>706</v>
      </c>
    </row>
    <row r="15" spans="1:6" ht="30" customHeight="1">
      <c r="A15" s="127">
        <f t="shared" si="2"/>
        <v>12</v>
      </c>
      <c r="B15" s="123" t="s">
        <v>447</v>
      </c>
      <c r="C15" s="124">
        <v>884</v>
      </c>
      <c r="D15" s="124">
        <f t="shared" si="0"/>
        <v>0</v>
      </c>
      <c r="E15" s="124">
        <f t="shared" si="1"/>
        <v>884</v>
      </c>
      <c r="F15" s="126" t="s">
        <v>789</v>
      </c>
    </row>
    <row r="16" spans="1:6" ht="30" customHeight="1">
      <c r="A16" s="127">
        <f t="shared" si="2"/>
        <v>13</v>
      </c>
      <c r="B16" s="123" t="s">
        <v>446</v>
      </c>
      <c r="C16" s="124">
        <v>727</v>
      </c>
      <c r="D16" s="124">
        <f t="shared" si="0"/>
        <v>0</v>
      </c>
      <c r="E16" s="124">
        <f t="shared" si="1"/>
        <v>727</v>
      </c>
      <c r="F16" s="126" t="s">
        <v>724</v>
      </c>
    </row>
    <row r="17" spans="1:6" ht="30" customHeight="1">
      <c r="A17" s="127">
        <f t="shared" si="2"/>
        <v>14</v>
      </c>
      <c r="B17" s="123" t="s">
        <v>445</v>
      </c>
      <c r="C17" s="124">
        <v>700</v>
      </c>
      <c r="D17" s="124">
        <f t="shared" si="0"/>
        <v>0</v>
      </c>
      <c r="E17" s="124">
        <f t="shared" si="1"/>
        <v>700</v>
      </c>
      <c r="F17" s="126" t="s">
        <v>1665</v>
      </c>
    </row>
    <row r="18" spans="1:6" ht="30" customHeight="1">
      <c r="A18" s="127">
        <f t="shared" si="2"/>
        <v>15</v>
      </c>
      <c r="B18" s="123" t="s">
        <v>444</v>
      </c>
      <c r="C18" s="124">
        <v>821</v>
      </c>
      <c r="D18" s="124">
        <f t="shared" si="0"/>
        <v>0</v>
      </c>
      <c r="E18" s="124">
        <f t="shared" si="1"/>
        <v>821</v>
      </c>
      <c r="F18" s="126" t="s">
        <v>690</v>
      </c>
    </row>
    <row r="19" spans="1:6" ht="30" customHeight="1">
      <c r="A19" s="127">
        <f t="shared" si="2"/>
        <v>16</v>
      </c>
      <c r="B19" s="123" t="s">
        <v>443</v>
      </c>
      <c r="C19" s="124">
        <v>796</v>
      </c>
      <c r="D19" s="124">
        <f t="shared" si="0"/>
        <v>0</v>
      </c>
      <c r="E19" s="124">
        <f t="shared" si="1"/>
        <v>796</v>
      </c>
      <c r="F19" s="126" t="s">
        <v>955</v>
      </c>
    </row>
    <row r="20" spans="1:6" ht="30" customHeight="1">
      <c r="A20" s="127">
        <f t="shared" si="2"/>
        <v>17</v>
      </c>
      <c r="B20" s="186" t="s">
        <v>442</v>
      </c>
      <c r="C20" s="124">
        <v>110</v>
      </c>
      <c r="D20" s="124">
        <f t="shared" si="0"/>
        <v>0</v>
      </c>
      <c r="E20" s="124">
        <f t="shared" si="1"/>
        <v>110</v>
      </c>
      <c r="F20" s="126" t="s">
        <v>441</v>
      </c>
    </row>
    <row r="21" spans="1:6" ht="30" customHeight="1">
      <c r="A21" s="127">
        <f t="shared" si="2"/>
        <v>18</v>
      </c>
      <c r="B21" s="123" t="s">
        <v>440</v>
      </c>
      <c r="C21" s="187">
        <v>89.4</v>
      </c>
      <c r="D21" s="124">
        <f t="shared" si="0"/>
        <v>0</v>
      </c>
      <c r="E21" s="124">
        <f t="shared" si="1"/>
        <v>89.4</v>
      </c>
      <c r="F21" s="126" t="s">
        <v>439</v>
      </c>
    </row>
    <row r="22" spans="1:6" ht="30" customHeight="1">
      <c r="A22" s="127">
        <f t="shared" si="2"/>
        <v>19</v>
      </c>
      <c r="B22" s="123" t="s">
        <v>438</v>
      </c>
      <c r="C22" s="187">
        <v>66.2</v>
      </c>
      <c r="D22" s="124">
        <f t="shared" si="0"/>
        <v>0</v>
      </c>
      <c r="E22" s="124">
        <f t="shared" si="1"/>
        <v>66.2</v>
      </c>
      <c r="F22" s="126" t="s">
        <v>437</v>
      </c>
    </row>
    <row r="23" spans="1:6" ht="30" customHeight="1">
      <c r="A23" s="127">
        <f t="shared" si="2"/>
        <v>20</v>
      </c>
      <c r="B23" s="123" t="s">
        <v>436</v>
      </c>
      <c r="C23" s="187">
        <v>32.450000000000003</v>
      </c>
      <c r="D23" s="124">
        <f t="shared" si="0"/>
        <v>0</v>
      </c>
      <c r="E23" s="124">
        <f t="shared" si="1"/>
        <v>32.450000000000003</v>
      </c>
      <c r="F23" s="126" t="s">
        <v>435</v>
      </c>
    </row>
    <row r="24" spans="1:6" ht="30" customHeight="1">
      <c r="A24" s="127">
        <f t="shared" si="2"/>
        <v>21</v>
      </c>
      <c r="B24" s="123" t="s">
        <v>434</v>
      </c>
      <c r="C24" s="187">
        <v>36.950000000000003</v>
      </c>
      <c r="D24" s="124">
        <f t="shared" si="0"/>
        <v>0</v>
      </c>
      <c r="E24" s="124">
        <f t="shared" si="1"/>
        <v>36.950000000000003</v>
      </c>
      <c r="F24" s="126" t="s">
        <v>433</v>
      </c>
    </row>
    <row r="25" spans="1:6" ht="30" customHeight="1">
      <c r="A25" s="127">
        <f>A24+1</f>
        <v>22</v>
      </c>
      <c r="B25" s="123" t="s">
        <v>1433</v>
      </c>
      <c r="C25" s="187">
        <v>106.25</v>
      </c>
      <c r="D25" s="124">
        <f t="shared" si="0"/>
        <v>0</v>
      </c>
      <c r="E25" s="124">
        <f t="shared" si="1"/>
        <v>106.25</v>
      </c>
      <c r="F25" s="126" t="s">
        <v>1434</v>
      </c>
    </row>
    <row r="26" spans="1:6" ht="30" customHeight="1">
      <c r="A26" s="127">
        <f>A25+1</f>
        <v>23</v>
      </c>
      <c r="B26" s="123" t="s">
        <v>1435</v>
      </c>
      <c r="C26" s="187">
        <v>105.9</v>
      </c>
      <c r="D26" s="124">
        <f t="shared" si="0"/>
        <v>0</v>
      </c>
      <c r="E26" s="124">
        <f t="shared" si="1"/>
        <v>105.9</v>
      </c>
      <c r="F26" s="126" t="s">
        <v>1436</v>
      </c>
    </row>
    <row r="27" spans="1:6" ht="30" customHeight="1">
      <c r="A27" s="127">
        <f>A26+1</f>
        <v>24</v>
      </c>
      <c r="B27" s="123" t="s">
        <v>1437</v>
      </c>
      <c r="C27" s="187">
        <v>10.199999999999999</v>
      </c>
      <c r="D27" s="124">
        <f t="shared" si="0"/>
        <v>0</v>
      </c>
      <c r="E27" s="124">
        <f t="shared" si="1"/>
        <v>10.199999999999999</v>
      </c>
      <c r="F27" s="126" t="s">
        <v>1438</v>
      </c>
    </row>
    <row r="28" spans="1:6" ht="30" customHeight="1">
      <c r="A28" s="127">
        <f>A27+1</f>
        <v>25</v>
      </c>
      <c r="B28" s="123" t="s">
        <v>1690</v>
      </c>
      <c r="C28" s="187"/>
      <c r="D28" s="124"/>
      <c r="E28" s="124"/>
      <c r="F28" s="126"/>
    </row>
    <row r="29" spans="1:6" ht="30" customHeight="1">
      <c r="A29" s="127" t="s">
        <v>71</v>
      </c>
      <c r="B29" s="123" t="s">
        <v>1691</v>
      </c>
      <c r="C29" s="187">
        <v>203</v>
      </c>
      <c r="D29" s="124">
        <f t="shared" si="0"/>
        <v>0</v>
      </c>
      <c r="E29" s="124">
        <f t="shared" ref="E29" si="3">D29+C29</f>
        <v>203</v>
      </c>
      <c r="F29" s="126" t="s">
        <v>1693</v>
      </c>
    </row>
    <row r="30" spans="1:6" ht="30" customHeight="1">
      <c r="A30" s="127" t="s">
        <v>70</v>
      </c>
      <c r="B30" s="123" t="s">
        <v>1692</v>
      </c>
      <c r="C30" s="187">
        <v>313</v>
      </c>
      <c r="D30" s="124">
        <f t="shared" si="0"/>
        <v>0</v>
      </c>
      <c r="E30" s="124">
        <f t="shared" ref="E30" si="4">D30+C30</f>
        <v>313</v>
      </c>
      <c r="F30" s="126" t="s">
        <v>1694</v>
      </c>
    </row>
    <row r="31" spans="1:6" ht="30" customHeight="1">
      <c r="A31" s="127"/>
      <c r="B31" s="123"/>
      <c r="C31" s="187"/>
      <c r="D31" s="124"/>
      <c r="E31" s="124"/>
      <c r="F31" s="126"/>
    </row>
    <row r="32" spans="1:6" ht="30" customHeight="1">
      <c r="A32" s="127"/>
      <c r="B32" s="188" t="s">
        <v>432</v>
      </c>
      <c r="C32" s="124"/>
      <c r="D32" s="124"/>
      <c r="E32" s="124"/>
      <c r="F32" s="126"/>
    </row>
    <row r="33" spans="1:6" ht="30" customHeight="1">
      <c r="A33" s="127">
        <f>A27+1</f>
        <v>25</v>
      </c>
      <c r="B33" s="123" t="s">
        <v>685</v>
      </c>
      <c r="C33" s="124">
        <v>113.6</v>
      </c>
      <c r="D33" s="124">
        <f t="shared" ref="D33:D36" si="5">C33*D$3</f>
        <v>0</v>
      </c>
      <c r="E33" s="124">
        <f>D33+C33</f>
        <v>113.6</v>
      </c>
      <c r="F33" s="126" t="s">
        <v>431</v>
      </c>
    </row>
    <row r="34" spans="1:6" ht="30" customHeight="1">
      <c r="A34" s="127">
        <f>A33+1</f>
        <v>26</v>
      </c>
      <c r="B34" s="123" t="s">
        <v>684</v>
      </c>
      <c r="C34" s="124">
        <v>223.8</v>
      </c>
      <c r="D34" s="124">
        <f t="shared" si="5"/>
        <v>0</v>
      </c>
      <c r="E34" s="124">
        <f>D34+C34</f>
        <v>223.8</v>
      </c>
      <c r="F34" s="126" t="s">
        <v>430</v>
      </c>
    </row>
    <row r="35" spans="1:6" ht="30" customHeight="1">
      <c r="A35" s="127">
        <f>A34+1</f>
        <v>27</v>
      </c>
      <c r="B35" s="123" t="s">
        <v>429</v>
      </c>
      <c r="C35" s="124">
        <v>74.8</v>
      </c>
      <c r="D35" s="124">
        <f t="shared" si="5"/>
        <v>0</v>
      </c>
      <c r="E35" s="124">
        <f>D35+C35</f>
        <v>74.8</v>
      </c>
      <c r="F35" s="126" t="s">
        <v>428</v>
      </c>
    </row>
    <row r="36" spans="1:6" ht="30" customHeight="1">
      <c r="A36" s="127">
        <f>A35+1</f>
        <v>28</v>
      </c>
      <c r="B36" s="123" t="s">
        <v>427</v>
      </c>
      <c r="C36" s="124">
        <v>150.9</v>
      </c>
      <c r="D36" s="124">
        <f t="shared" si="5"/>
        <v>0</v>
      </c>
      <c r="E36" s="124">
        <f>D36+C36</f>
        <v>150.9</v>
      </c>
      <c r="F36" s="126" t="s">
        <v>421</v>
      </c>
    </row>
    <row r="37" spans="1:6" ht="30" customHeight="1">
      <c r="A37" s="127"/>
      <c r="B37" s="188" t="s">
        <v>426</v>
      </c>
      <c r="C37" s="187"/>
      <c r="D37" s="124"/>
      <c r="E37" s="124"/>
      <c r="F37" s="126"/>
    </row>
    <row r="38" spans="1:6" ht="30" customHeight="1">
      <c r="A38" s="127"/>
      <c r="B38" s="188" t="s">
        <v>36</v>
      </c>
      <c r="C38" s="187"/>
      <c r="D38" s="124"/>
      <c r="E38" s="124"/>
      <c r="F38" s="126"/>
    </row>
    <row r="39" spans="1:6" ht="30" customHeight="1">
      <c r="A39" s="127">
        <f>A36+1</f>
        <v>29</v>
      </c>
      <c r="B39" s="123" t="s">
        <v>956</v>
      </c>
      <c r="C39" s="124">
        <v>111.8</v>
      </c>
      <c r="D39" s="124">
        <f t="shared" ref="D39:D41" si="6">C39*D$3</f>
        <v>0</v>
      </c>
      <c r="E39" s="124">
        <f t="shared" ref="E39:E45" si="7">D39+C39</f>
        <v>111.8</v>
      </c>
      <c r="F39" s="126" t="s">
        <v>425</v>
      </c>
    </row>
    <row r="40" spans="1:6" ht="30" customHeight="1">
      <c r="A40" s="127">
        <f>A39+1</f>
        <v>30</v>
      </c>
      <c r="B40" s="123" t="s">
        <v>957</v>
      </c>
      <c r="C40" s="124">
        <v>224.4</v>
      </c>
      <c r="D40" s="124">
        <f t="shared" si="6"/>
        <v>0</v>
      </c>
      <c r="E40" s="124">
        <f t="shared" si="7"/>
        <v>224.4</v>
      </c>
      <c r="F40" s="126" t="s">
        <v>424</v>
      </c>
    </row>
    <row r="41" spans="1:6" ht="30" customHeight="1">
      <c r="A41" s="127">
        <f>A40+1</f>
        <v>31</v>
      </c>
      <c r="B41" s="123" t="s">
        <v>958</v>
      </c>
      <c r="C41" s="124">
        <v>224.4</v>
      </c>
      <c r="D41" s="124">
        <f t="shared" si="6"/>
        <v>0</v>
      </c>
      <c r="E41" s="124">
        <f t="shared" si="7"/>
        <v>224.4</v>
      </c>
      <c r="F41" s="126" t="s">
        <v>423</v>
      </c>
    </row>
    <row r="42" spans="1:6" ht="30" customHeight="1">
      <c r="A42" s="127"/>
      <c r="B42" s="189" t="s">
        <v>961</v>
      </c>
      <c r="C42" s="124"/>
      <c r="D42" s="124"/>
      <c r="E42" s="124"/>
      <c r="F42" s="126"/>
    </row>
    <row r="43" spans="1:6" ht="30" customHeight="1">
      <c r="A43" s="127">
        <f>A41+1</f>
        <v>32</v>
      </c>
      <c r="B43" s="123" t="s">
        <v>959</v>
      </c>
      <c r="C43" s="124">
        <v>75.099999999999994</v>
      </c>
      <c r="D43" s="124">
        <f t="shared" ref="D43:D50" si="8">C43*D$3</f>
        <v>0</v>
      </c>
      <c r="E43" s="124">
        <f t="shared" si="7"/>
        <v>75.099999999999994</v>
      </c>
      <c r="F43" s="126" t="s">
        <v>422</v>
      </c>
    </row>
    <row r="44" spans="1:6" ht="30" customHeight="1">
      <c r="A44" s="127">
        <f t="shared" ref="A44:A50" si="9">A43+1</f>
        <v>33</v>
      </c>
      <c r="B44" s="123" t="s">
        <v>960</v>
      </c>
      <c r="C44" s="124">
        <v>150.69999999999999</v>
      </c>
      <c r="D44" s="124">
        <f t="shared" si="8"/>
        <v>0</v>
      </c>
      <c r="E44" s="124">
        <f t="shared" si="7"/>
        <v>150.69999999999999</v>
      </c>
      <c r="F44" s="126" t="s">
        <v>421</v>
      </c>
    </row>
    <row r="45" spans="1:6" ht="30" customHeight="1">
      <c r="A45" s="127">
        <f t="shared" si="9"/>
        <v>34</v>
      </c>
      <c r="B45" s="123" t="s">
        <v>958</v>
      </c>
      <c r="C45" s="124">
        <v>150.69999999999999</v>
      </c>
      <c r="D45" s="124">
        <f t="shared" si="8"/>
        <v>0</v>
      </c>
      <c r="E45" s="124">
        <f t="shared" si="7"/>
        <v>150.69999999999999</v>
      </c>
      <c r="F45" s="126" t="s">
        <v>420</v>
      </c>
    </row>
    <row r="46" spans="1:6" ht="30" customHeight="1">
      <c r="A46" s="127">
        <f t="shared" si="9"/>
        <v>35</v>
      </c>
      <c r="B46" s="126" t="s">
        <v>419</v>
      </c>
      <c r="C46" s="190">
        <v>52.5</v>
      </c>
      <c r="D46" s="124">
        <f t="shared" si="8"/>
        <v>0</v>
      </c>
      <c r="E46" s="124">
        <f>D46+C46</f>
        <v>52.5</v>
      </c>
      <c r="F46" s="126" t="s">
        <v>753</v>
      </c>
    </row>
    <row r="47" spans="1:6" ht="30" customHeight="1">
      <c r="A47" s="127">
        <f t="shared" si="9"/>
        <v>36</v>
      </c>
      <c r="B47" s="126" t="s">
        <v>751</v>
      </c>
      <c r="C47" s="190">
        <v>48.5</v>
      </c>
      <c r="D47" s="124">
        <f t="shared" si="8"/>
        <v>0</v>
      </c>
      <c r="E47" s="124">
        <f>D47+C47</f>
        <v>48.5</v>
      </c>
      <c r="F47" s="126" t="s">
        <v>752</v>
      </c>
    </row>
    <row r="48" spans="1:6" ht="30" customHeight="1">
      <c r="A48" s="127">
        <f t="shared" si="9"/>
        <v>37</v>
      </c>
      <c r="B48" s="126" t="s">
        <v>963</v>
      </c>
      <c r="C48" s="190">
        <v>30.35</v>
      </c>
      <c r="D48" s="124">
        <f t="shared" si="8"/>
        <v>0</v>
      </c>
      <c r="E48" s="124">
        <f>D48+C48</f>
        <v>30.35</v>
      </c>
      <c r="F48" s="126" t="s">
        <v>966</v>
      </c>
    </row>
    <row r="49" spans="1:6" ht="30" customHeight="1">
      <c r="A49" s="127">
        <f t="shared" si="9"/>
        <v>38</v>
      </c>
      <c r="B49" s="126" t="s">
        <v>964</v>
      </c>
      <c r="C49" s="190">
        <v>28.15</v>
      </c>
      <c r="D49" s="124">
        <f t="shared" si="8"/>
        <v>0</v>
      </c>
      <c r="E49" s="124">
        <f>D49+C49</f>
        <v>28.15</v>
      </c>
      <c r="F49" s="126" t="s">
        <v>967</v>
      </c>
    </row>
    <row r="50" spans="1:6" ht="30" customHeight="1">
      <c r="A50" s="127">
        <f t="shared" si="9"/>
        <v>39</v>
      </c>
      <c r="B50" s="126" t="s">
        <v>965</v>
      </c>
      <c r="C50" s="190">
        <v>28.15</v>
      </c>
      <c r="D50" s="124">
        <f t="shared" si="8"/>
        <v>0</v>
      </c>
      <c r="E50" s="124">
        <f>D50+C50</f>
        <v>28.15</v>
      </c>
      <c r="F50" s="126" t="s">
        <v>968</v>
      </c>
    </row>
  </sheetData>
  <mergeCells count="2">
    <mergeCell ref="A1:F1"/>
    <mergeCell ref="A2:F2"/>
  </mergeCells>
  <printOptions horizontalCentered="1"/>
  <pageMargins left="0.59" right="0.39500000000000002" top="0.748" bottom="0.748" header="0.315" footer="0.315"/>
  <pageSetup paperSize="9" scale="80" orientation="portrait" r:id="rId1"/>
  <headerFooter scaleWithDoc="0">
    <oddHeader>&amp;L&amp;"Arial,Regular"&amp;10Proposed Working Women's Hostels for TNWWHSB at Tiruvannamalai.&amp;R&amp;A</oddHeader>
    <oddFooter>&amp;L&amp;"Arial,Regular"&amp;10DIUS Design Consultant Pvt Ltd&amp;C&amp;"Arial,Regular"&amp;10&amp;P of &amp;N&amp;R&amp;10Knight Frank (India) Pvt Ltd</oddFooter>
  </headerFooter>
</worksheet>
</file>

<file path=xl/worksheets/sheet7.xml><?xml version="1.0" encoding="utf-8"?>
<worksheet xmlns="http://schemas.openxmlformats.org/spreadsheetml/2006/main" xmlns:r="http://schemas.openxmlformats.org/officeDocument/2006/relationships">
  <dimension ref="A1:F61"/>
  <sheetViews>
    <sheetView tabSelected="1" view="pageBreakPreview" zoomScale="85" zoomScaleNormal="85" zoomScaleSheetLayoutView="85" workbookViewId="0">
      <pane xSplit="1" ySplit="4" topLeftCell="B5" activePane="bottomRight" state="frozen"/>
      <selection activeCell="E40" sqref="E40"/>
      <selection pane="topRight" activeCell="E40" sqref="E40"/>
      <selection pane="bottomLeft" activeCell="E40" sqref="E40"/>
      <selection pane="bottomRight" activeCell="B10" sqref="B10"/>
    </sheetView>
  </sheetViews>
  <sheetFormatPr defaultColWidth="9.140625" defaultRowHeight="14.25"/>
  <cols>
    <col min="1" max="1" width="9.140625" style="3"/>
    <col min="2" max="2" width="60.7109375" style="3" customWidth="1"/>
    <col min="3" max="3" width="5.85546875" style="3" bestFit="1" customWidth="1"/>
    <col min="4" max="4" width="12" style="829" customWidth="1"/>
    <col min="5" max="5" width="10.5703125" style="6" bestFit="1" customWidth="1"/>
    <col min="6" max="6" width="16.42578125" style="6" customWidth="1"/>
    <col min="7" max="16384" width="9.140625" style="3"/>
  </cols>
  <sheetData>
    <row r="1" spans="1:6" s="7" customFormat="1" ht="35.25" customHeight="1">
      <c r="A1" s="762" t="str">
        <f>Summary!A1</f>
        <v>Estimate for construction of Proposed Working Women's Hostels at Tiruvannamalai.</v>
      </c>
      <c r="B1" s="762"/>
      <c r="C1" s="762"/>
      <c r="D1" s="762"/>
      <c r="E1" s="762"/>
      <c r="F1" s="762"/>
    </row>
    <row r="2" spans="1:6" s="7" customFormat="1" ht="30" customHeight="1">
      <c r="A2" s="762" t="str">
        <f>Labour!A2</f>
        <v>BASED ON  Proc No. HDO (A) / 18064 / 2022-2, Dated 19.07.2022</v>
      </c>
      <c r="B2" s="762"/>
      <c r="C2" s="762"/>
      <c r="D2" s="762"/>
      <c r="E2" s="762"/>
      <c r="F2" s="762"/>
    </row>
    <row r="3" spans="1:6" s="832" customFormat="1" ht="30" customHeight="1">
      <c r="A3" s="830"/>
      <c r="B3" s="831" t="s">
        <v>1935</v>
      </c>
      <c r="C3" s="831"/>
      <c r="D3" s="831"/>
      <c r="E3" s="831"/>
      <c r="F3" s="831"/>
    </row>
    <row r="4" spans="1:6" ht="34.9" customHeight="1">
      <c r="A4" s="5" t="s">
        <v>0</v>
      </c>
      <c r="B4" s="1" t="s">
        <v>681</v>
      </c>
      <c r="C4" s="4" t="s">
        <v>146</v>
      </c>
      <c r="D4" s="824" t="s">
        <v>460</v>
      </c>
      <c r="E4" s="2" t="s">
        <v>416</v>
      </c>
      <c r="F4" s="5" t="s">
        <v>481</v>
      </c>
    </row>
    <row r="5" spans="1:6" ht="28.5">
      <c r="A5" s="127">
        <v>1</v>
      </c>
      <c r="B5" s="128" t="s">
        <v>682</v>
      </c>
      <c r="C5" s="129" t="s">
        <v>52</v>
      </c>
      <c r="D5" s="825">
        <v>244</v>
      </c>
      <c r="E5" s="130" t="s">
        <v>683</v>
      </c>
      <c r="F5" s="127">
        <v>166</v>
      </c>
    </row>
    <row r="6" spans="1:6" ht="24.95" customHeight="1">
      <c r="A6" s="127">
        <v>2</v>
      </c>
      <c r="B6" s="128" t="s">
        <v>688</v>
      </c>
      <c r="C6" s="129" t="s">
        <v>471</v>
      </c>
      <c r="D6" s="825">
        <v>56.35</v>
      </c>
      <c r="E6" s="130" t="s">
        <v>689</v>
      </c>
      <c r="F6" s="127">
        <v>20</v>
      </c>
    </row>
    <row r="7" spans="1:6" ht="24.95" customHeight="1">
      <c r="A7" s="127">
        <v>3</v>
      </c>
      <c r="B7" s="128" t="s">
        <v>695</v>
      </c>
      <c r="C7" s="129"/>
      <c r="D7" s="825"/>
      <c r="E7" s="130"/>
      <c r="F7" s="127"/>
    </row>
    <row r="8" spans="1:6" ht="24.95" customHeight="1">
      <c r="A8" s="127" t="s">
        <v>71</v>
      </c>
      <c r="B8" s="128" t="s">
        <v>696</v>
      </c>
      <c r="C8" s="129" t="s">
        <v>165</v>
      </c>
      <c r="D8" s="825">
        <v>45.8</v>
      </c>
      <c r="E8" s="130" t="s">
        <v>699</v>
      </c>
      <c r="F8" s="127">
        <v>66</v>
      </c>
    </row>
    <row r="9" spans="1:6" ht="24.95" customHeight="1">
      <c r="A9" s="127" t="s">
        <v>70</v>
      </c>
      <c r="B9" s="128" t="s">
        <v>697</v>
      </c>
      <c r="C9" s="129" t="s">
        <v>165</v>
      </c>
      <c r="D9" s="825">
        <v>68.650000000000006</v>
      </c>
      <c r="E9" s="130" t="s">
        <v>700</v>
      </c>
      <c r="F9" s="127">
        <v>66</v>
      </c>
    </row>
    <row r="10" spans="1:6" ht="24.95" customHeight="1">
      <c r="A10" s="127" t="s">
        <v>69</v>
      </c>
      <c r="B10" s="128" t="s">
        <v>698</v>
      </c>
      <c r="C10" s="129" t="s">
        <v>165</v>
      </c>
      <c r="D10" s="825">
        <v>91.6</v>
      </c>
      <c r="E10" s="130" t="s">
        <v>701</v>
      </c>
      <c r="F10" s="127">
        <v>67</v>
      </c>
    </row>
    <row r="11" spans="1:6" ht="28.5">
      <c r="A11" s="127">
        <v>4</v>
      </c>
      <c r="B11" s="128" t="s">
        <v>709</v>
      </c>
      <c r="C11" s="129" t="s">
        <v>9</v>
      </c>
      <c r="D11" s="825">
        <v>5536</v>
      </c>
      <c r="E11" s="131">
        <v>248</v>
      </c>
      <c r="F11" s="127">
        <v>57</v>
      </c>
    </row>
    <row r="12" spans="1:6" ht="28.5">
      <c r="A12" s="127">
        <v>5</v>
      </c>
      <c r="B12" s="128" t="s">
        <v>710</v>
      </c>
      <c r="C12" s="129" t="s">
        <v>9</v>
      </c>
      <c r="D12" s="825">
        <v>1843</v>
      </c>
      <c r="E12" s="131">
        <v>249</v>
      </c>
      <c r="F12" s="127">
        <v>57</v>
      </c>
    </row>
    <row r="13" spans="1:6" ht="24.95" customHeight="1">
      <c r="A13" s="127">
        <v>6</v>
      </c>
      <c r="B13" s="123" t="s">
        <v>339</v>
      </c>
      <c r="C13" s="132" t="s">
        <v>52</v>
      </c>
      <c r="D13" s="825">
        <v>12980</v>
      </c>
      <c r="E13" s="132" t="s">
        <v>784</v>
      </c>
      <c r="F13" s="131">
        <v>27</v>
      </c>
    </row>
    <row r="14" spans="1:6" ht="24.95" customHeight="1">
      <c r="A14" s="127">
        <v>7</v>
      </c>
      <c r="B14" s="123" t="s">
        <v>480</v>
      </c>
      <c r="C14" s="132" t="s">
        <v>52</v>
      </c>
      <c r="D14" s="825">
        <v>99400</v>
      </c>
      <c r="E14" s="133">
        <v>74</v>
      </c>
      <c r="F14" s="131">
        <v>18</v>
      </c>
    </row>
    <row r="15" spans="1:6" ht="28.5">
      <c r="A15" s="127">
        <v>8</v>
      </c>
      <c r="B15" s="123" t="s">
        <v>479</v>
      </c>
      <c r="C15" s="132" t="s">
        <v>52</v>
      </c>
      <c r="D15" s="826">
        <v>111600</v>
      </c>
      <c r="E15" s="133">
        <v>73</v>
      </c>
      <c r="F15" s="131">
        <v>18</v>
      </c>
    </row>
    <row r="16" spans="1:6" ht="24.95" customHeight="1">
      <c r="A16" s="127">
        <v>9</v>
      </c>
      <c r="B16" s="123" t="s">
        <v>478</v>
      </c>
      <c r="C16" s="132" t="s">
        <v>52</v>
      </c>
      <c r="D16" s="825">
        <v>34300</v>
      </c>
      <c r="E16" s="133" t="s">
        <v>477</v>
      </c>
      <c r="F16" s="131">
        <v>18</v>
      </c>
    </row>
    <row r="17" spans="1:6" ht="24.95" customHeight="1">
      <c r="A17" s="127">
        <v>10</v>
      </c>
      <c r="B17" s="126" t="s">
        <v>749</v>
      </c>
      <c r="C17" s="132" t="s">
        <v>471</v>
      </c>
      <c r="D17" s="825">
        <v>53</v>
      </c>
      <c r="E17" s="133">
        <v>111</v>
      </c>
      <c r="F17" s="131">
        <v>20</v>
      </c>
    </row>
    <row r="18" spans="1:6" ht="24.95" customHeight="1">
      <c r="A18" s="127">
        <v>11</v>
      </c>
      <c r="B18" s="126" t="s">
        <v>476</v>
      </c>
      <c r="C18" s="132" t="s">
        <v>471</v>
      </c>
      <c r="D18" s="825">
        <v>53</v>
      </c>
      <c r="E18" s="133">
        <v>112</v>
      </c>
      <c r="F18" s="131">
        <v>20</v>
      </c>
    </row>
    <row r="19" spans="1:6" ht="24.95" customHeight="1">
      <c r="A19" s="127">
        <v>12</v>
      </c>
      <c r="B19" s="126" t="s">
        <v>317</v>
      </c>
      <c r="C19" s="132" t="s">
        <v>52</v>
      </c>
      <c r="D19" s="825">
        <v>15500</v>
      </c>
      <c r="E19" s="133" t="s">
        <v>704</v>
      </c>
      <c r="F19" s="131">
        <v>19</v>
      </c>
    </row>
    <row r="20" spans="1:6" ht="24.95" customHeight="1">
      <c r="A20" s="127">
        <v>13</v>
      </c>
      <c r="B20" s="126" t="s">
        <v>475</v>
      </c>
      <c r="C20" s="132" t="s">
        <v>33</v>
      </c>
      <c r="D20" s="825">
        <v>25.2</v>
      </c>
      <c r="E20" s="133" t="s">
        <v>705</v>
      </c>
      <c r="F20" s="131">
        <v>19</v>
      </c>
    </row>
    <row r="21" spans="1:6" ht="24.95" customHeight="1">
      <c r="A21" s="127">
        <v>14</v>
      </c>
      <c r="B21" s="134" t="s">
        <v>474</v>
      </c>
      <c r="C21" s="132" t="s">
        <v>9</v>
      </c>
      <c r="D21" s="825">
        <v>7482</v>
      </c>
      <c r="E21" s="133">
        <v>269</v>
      </c>
      <c r="F21" s="131">
        <v>65</v>
      </c>
    </row>
    <row r="22" spans="1:6" ht="24.95" customHeight="1">
      <c r="A22" s="127">
        <v>15</v>
      </c>
      <c r="B22" s="134" t="s">
        <v>473</v>
      </c>
      <c r="C22" s="132" t="s">
        <v>9</v>
      </c>
      <c r="D22" s="825">
        <v>8106</v>
      </c>
      <c r="E22" s="133">
        <v>270</v>
      </c>
      <c r="F22" s="131">
        <v>66</v>
      </c>
    </row>
    <row r="23" spans="1:6" ht="24.95" customHeight="1">
      <c r="A23" s="127">
        <v>16</v>
      </c>
      <c r="B23" s="126" t="s">
        <v>254</v>
      </c>
      <c r="C23" s="132" t="s">
        <v>471</v>
      </c>
      <c r="D23" s="825">
        <v>22.6</v>
      </c>
      <c r="E23" s="133">
        <v>24</v>
      </c>
      <c r="F23" s="131">
        <v>35</v>
      </c>
    </row>
    <row r="24" spans="1:6" ht="28.5">
      <c r="A24" s="127">
        <v>17</v>
      </c>
      <c r="B24" s="126" t="s">
        <v>472</v>
      </c>
      <c r="C24" s="132" t="s">
        <v>471</v>
      </c>
      <c r="D24" s="825">
        <v>27.25</v>
      </c>
      <c r="E24" s="133">
        <v>25</v>
      </c>
      <c r="F24" s="131">
        <v>35</v>
      </c>
    </row>
    <row r="25" spans="1:6" ht="27.75" customHeight="1">
      <c r="A25" s="127">
        <v>18</v>
      </c>
      <c r="B25" s="134" t="s">
        <v>1494</v>
      </c>
      <c r="C25" s="132" t="s">
        <v>9</v>
      </c>
      <c r="D25" s="825">
        <v>982</v>
      </c>
      <c r="E25" s="133">
        <v>15</v>
      </c>
      <c r="F25" s="135">
        <v>35</v>
      </c>
    </row>
    <row r="26" spans="1:6" ht="24.95" customHeight="1">
      <c r="A26" s="127">
        <v>19</v>
      </c>
      <c r="B26" s="134" t="s">
        <v>897</v>
      </c>
      <c r="C26" s="132" t="s">
        <v>165</v>
      </c>
      <c r="D26" s="825">
        <v>35.15</v>
      </c>
      <c r="E26" s="132" t="s">
        <v>898</v>
      </c>
      <c r="F26" s="135">
        <v>34</v>
      </c>
    </row>
    <row r="27" spans="1:6" ht="24.95" customHeight="1">
      <c r="A27" s="127">
        <v>20</v>
      </c>
      <c r="B27" s="126" t="s">
        <v>470</v>
      </c>
      <c r="C27" s="132" t="s">
        <v>9</v>
      </c>
      <c r="D27" s="825">
        <v>1737</v>
      </c>
      <c r="E27" s="132" t="s">
        <v>469</v>
      </c>
      <c r="F27" s="131">
        <v>36</v>
      </c>
    </row>
    <row r="28" spans="1:6" ht="24.95" customHeight="1">
      <c r="A28" s="127">
        <v>21</v>
      </c>
      <c r="B28" s="126" t="s">
        <v>468</v>
      </c>
      <c r="C28" s="132" t="s">
        <v>9</v>
      </c>
      <c r="D28" s="825">
        <v>1626</v>
      </c>
      <c r="E28" s="132" t="s">
        <v>467</v>
      </c>
      <c r="F28" s="131">
        <v>36</v>
      </c>
    </row>
    <row r="29" spans="1:6" ht="24.95" customHeight="1">
      <c r="A29" s="127">
        <v>22</v>
      </c>
      <c r="B29" s="126" t="s">
        <v>466</v>
      </c>
      <c r="C29" s="132" t="s">
        <v>9</v>
      </c>
      <c r="D29" s="825">
        <v>1462</v>
      </c>
      <c r="E29" s="132" t="s">
        <v>465</v>
      </c>
      <c r="F29" s="131">
        <v>36</v>
      </c>
    </row>
    <row r="30" spans="1:6" ht="28.5">
      <c r="A30" s="127">
        <v>23</v>
      </c>
      <c r="B30" s="126" t="s">
        <v>464</v>
      </c>
      <c r="C30" s="132" t="s">
        <v>9</v>
      </c>
      <c r="D30" s="825">
        <v>484</v>
      </c>
      <c r="E30" s="133">
        <v>36</v>
      </c>
      <c r="F30" s="131">
        <v>36</v>
      </c>
    </row>
    <row r="31" spans="1:6" ht="24.95" customHeight="1">
      <c r="A31" s="127">
        <v>24</v>
      </c>
      <c r="B31" s="126" t="s">
        <v>882</v>
      </c>
      <c r="C31" s="132" t="s">
        <v>462</v>
      </c>
      <c r="D31" s="825">
        <v>151.30000000000001</v>
      </c>
      <c r="E31" s="133">
        <v>47</v>
      </c>
      <c r="F31" s="131">
        <v>37</v>
      </c>
    </row>
    <row r="32" spans="1:6" ht="24.95" customHeight="1">
      <c r="A32" s="127">
        <v>25</v>
      </c>
      <c r="B32" s="126" t="s">
        <v>728</v>
      </c>
      <c r="C32" s="132" t="s">
        <v>462</v>
      </c>
      <c r="D32" s="825">
        <v>303.8</v>
      </c>
      <c r="E32" s="133">
        <v>149</v>
      </c>
      <c r="F32" s="131">
        <v>45</v>
      </c>
    </row>
    <row r="33" spans="1:6" ht="28.5">
      <c r="A33" s="127">
        <v>26</v>
      </c>
      <c r="B33" s="126" t="s">
        <v>729</v>
      </c>
      <c r="C33" s="132" t="s">
        <v>9</v>
      </c>
      <c r="D33" s="825">
        <v>412</v>
      </c>
      <c r="E33" s="133">
        <v>150</v>
      </c>
      <c r="F33" s="131">
        <v>45</v>
      </c>
    </row>
    <row r="34" spans="1:6" ht="24.95" customHeight="1">
      <c r="A34" s="127">
        <v>27</v>
      </c>
      <c r="B34" s="126" t="s">
        <v>742</v>
      </c>
      <c r="C34" s="132" t="s">
        <v>165</v>
      </c>
      <c r="D34" s="825">
        <v>1864</v>
      </c>
      <c r="E34" s="133">
        <v>238</v>
      </c>
      <c r="F34" s="131">
        <v>55</v>
      </c>
    </row>
    <row r="35" spans="1:6" ht="24.95" customHeight="1">
      <c r="A35" s="127">
        <v>28</v>
      </c>
      <c r="B35" s="126" t="s">
        <v>744</v>
      </c>
      <c r="C35" s="132" t="s">
        <v>33</v>
      </c>
      <c r="D35" s="825">
        <v>2250</v>
      </c>
      <c r="E35" s="133">
        <v>153</v>
      </c>
      <c r="F35" s="131">
        <v>45</v>
      </c>
    </row>
    <row r="36" spans="1:6" ht="24.95" customHeight="1">
      <c r="A36" s="127">
        <v>29</v>
      </c>
      <c r="B36" s="126" t="s">
        <v>746</v>
      </c>
      <c r="C36" s="132" t="s">
        <v>165</v>
      </c>
      <c r="D36" s="825">
        <v>230.2</v>
      </c>
      <c r="E36" s="133">
        <v>250</v>
      </c>
      <c r="F36" s="131">
        <v>57</v>
      </c>
    </row>
    <row r="37" spans="1:6" ht="24.95" customHeight="1">
      <c r="A37" s="127">
        <v>30</v>
      </c>
      <c r="B37" s="126" t="s">
        <v>756</v>
      </c>
      <c r="C37" s="132" t="s">
        <v>165</v>
      </c>
      <c r="D37" s="825">
        <v>2575</v>
      </c>
      <c r="E37" s="133">
        <v>205</v>
      </c>
      <c r="F37" s="131">
        <v>51</v>
      </c>
    </row>
    <row r="38" spans="1:6" ht="24.95" customHeight="1">
      <c r="A38" s="127">
        <v>31</v>
      </c>
      <c r="B38" s="122" t="s">
        <v>527</v>
      </c>
      <c r="C38" s="122" t="s">
        <v>9</v>
      </c>
      <c r="D38" s="827">
        <v>648</v>
      </c>
      <c r="E38" s="127">
        <v>148</v>
      </c>
      <c r="F38" s="127">
        <v>45</v>
      </c>
    </row>
    <row r="39" spans="1:6" ht="28.5">
      <c r="A39" s="127">
        <v>32</v>
      </c>
      <c r="B39" s="126" t="s">
        <v>463</v>
      </c>
      <c r="C39" s="132" t="s">
        <v>9</v>
      </c>
      <c r="D39" s="825">
        <v>550</v>
      </c>
      <c r="E39" s="133">
        <v>37</v>
      </c>
      <c r="F39" s="131">
        <v>36</v>
      </c>
    </row>
    <row r="40" spans="1:6" ht="24.95" customHeight="1">
      <c r="A40" s="127">
        <v>33</v>
      </c>
      <c r="B40" s="126" t="s">
        <v>971</v>
      </c>
      <c r="C40" s="132" t="s">
        <v>471</v>
      </c>
      <c r="D40" s="825">
        <v>43.2</v>
      </c>
      <c r="E40" s="133">
        <v>274</v>
      </c>
      <c r="F40" s="131">
        <v>67</v>
      </c>
    </row>
    <row r="41" spans="1:6" ht="28.5">
      <c r="A41" s="127">
        <v>34</v>
      </c>
      <c r="B41" s="126" t="s">
        <v>978</v>
      </c>
      <c r="C41" s="132" t="s">
        <v>471</v>
      </c>
      <c r="D41" s="825">
        <v>70.150000000000006</v>
      </c>
      <c r="E41" s="133">
        <v>131</v>
      </c>
      <c r="F41" s="131">
        <v>20</v>
      </c>
    </row>
    <row r="42" spans="1:6" ht="28.5">
      <c r="A42" s="127">
        <v>35</v>
      </c>
      <c r="B42" s="126" t="s">
        <v>962</v>
      </c>
      <c r="C42" s="132" t="s">
        <v>471</v>
      </c>
      <c r="D42" s="825">
        <v>30.35</v>
      </c>
      <c r="E42" s="133" t="s">
        <v>979</v>
      </c>
      <c r="F42" s="131">
        <v>29</v>
      </c>
    </row>
    <row r="43" spans="1:6" ht="33" customHeight="1">
      <c r="A43" s="127">
        <v>37</v>
      </c>
      <c r="B43" s="126" t="s">
        <v>1297</v>
      </c>
      <c r="C43" s="132" t="s">
        <v>471</v>
      </c>
      <c r="D43" s="825">
        <v>42.7</v>
      </c>
      <c r="E43" s="133">
        <v>1</v>
      </c>
      <c r="F43" s="131">
        <v>34</v>
      </c>
    </row>
    <row r="44" spans="1:6" ht="33" customHeight="1">
      <c r="A44" s="127">
        <v>38</v>
      </c>
      <c r="B44" s="126" t="s">
        <v>1308</v>
      </c>
      <c r="C44" s="132" t="s">
        <v>471</v>
      </c>
      <c r="D44" s="825">
        <v>552</v>
      </c>
      <c r="E44" s="133" t="s">
        <v>1309</v>
      </c>
      <c r="F44" s="131">
        <v>35</v>
      </c>
    </row>
    <row r="45" spans="1:6" ht="33" customHeight="1">
      <c r="A45" s="127">
        <v>39</v>
      </c>
      <c r="B45" s="126" t="s">
        <v>1689</v>
      </c>
      <c r="C45" s="132" t="s">
        <v>9</v>
      </c>
      <c r="D45" s="825">
        <v>2225</v>
      </c>
      <c r="E45" s="133">
        <v>121</v>
      </c>
      <c r="F45" s="131">
        <v>42</v>
      </c>
    </row>
    <row r="46" spans="1:6" ht="33" customHeight="1">
      <c r="A46" s="127">
        <v>40</v>
      </c>
      <c r="B46" s="444" t="s">
        <v>1695</v>
      </c>
      <c r="C46" s="444"/>
      <c r="D46" s="828"/>
      <c r="E46" s="445"/>
      <c r="F46" s="445"/>
    </row>
    <row r="47" spans="1:6" ht="33" customHeight="1">
      <c r="A47" s="127" t="s">
        <v>71</v>
      </c>
      <c r="B47" s="444" t="s">
        <v>1696</v>
      </c>
      <c r="C47" s="444" t="s">
        <v>165</v>
      </c>
      <c r="D47" s="827">
        <v>64.25</v>
      </c>
      <c r="E47" s="445" t="s">
        <v>1699</v>
      </c>
      <c r="F47" s="445">
        <v>41</v>
      </c>
    </row>
    <row r="48" spans="1:6" ht="33" customHeight="1">
      <c r="A48" s="127" t="s">
        <v>70</v>
      </c>
      <c r="B48" s="444" t="s">
        <v>1697</v>
      </c>
      <c r="C48" s="444" t="s">
        <v>165</v>
      </c>
      <c r="D48" s="827">
        <v>57.65</v>
      </c>
      <c r="E48" s="445" t="s">
        <v>1700</v>
      </c>
      <c r="F48" s="445">
        <v>41</v>
      </c>
    </row>
    <row r="49" spans="1:6" ht="33" customHeight="1">
      <c r="A49" s="127" t="s">
        <v>69</v>
      </c>
      <c r="B49" s="444" t="s">
        <v>1698</v>
      </c>
      <c r="C49" s="444" t="s">
        <v>165</v>
      </c>
      <c r="D49" s="827">
        <v>35.299999999999997</v>
      </c>
      <c r="E49" s="445" t="s">
        <v>1701</v>
      </c>
      <c r="F49" s="445">
        <v>41</v>
      </c>
    </row>
    <row r="50" spans="1:6" ht="28.5">
      <c r="A50" s="127">
        <f>A46+1</f>
        <v>41</v>
      </c>
      <c r="B50" s="446" t="s">
        <v>1702</v>
      </c>
      <c r="C50" s="444"/>
      <c r="D50" s="828"/>
      <c r="E50" s="445"/>
      <c r="F50" s="445"/>
    </row>
    <row r="51" spans="1:6" ht="24.95" customHeight="1">
      <c r="A51" s="127" t="s">
        <v>71</v>
      </c>
      <c r="B51" s="444" t="s">
        <v>1703</v>
      </c>
      <c r="C51" s="444" t="s">
        <v>165</v>
      </c>
      <c r="D51" s="828">
        <v>89.6</v>
      </c>
      <c r="E51" s="445" t="s">
        <v>1704</v>
      </c>
      <c r="F51" s="445">
        <v>40</v>
      </c>
    </row>
    <row r="52" spans="1:6" ht="28.5">
      <c r="A52" s="127">
        <f>A50+1</f>
        <v>42</v>
      </c>
      <c r="B52" s="446" t="s">
        <v>1705</v>
      </c>
      <c r="C52" s="444"/>
      <c r="D52" s="828"/>
      <c r="E52" s="445"/>
      <c r="F52" s="445"/>
    </row>
    <row r="53" spans="1:6" ht="24.95" customHeight="1">
      <c r="A53" s="127" t="s">
        <v>67</v>
      </c>
      <c r="B53" s="444" t="s">
        <v>1706</v>
      </c>
      <c r="C53" s="444" t="s">
        <v>165</v>
      </c>
      <c r="D53" s="828">
        <v>64.8</v>
      </c>
      <c r="E53" s="445" t="s">
        <v>1707</v>
      </c>
      <c r="F53" s="445">
        <v>40</v>
      </c>
    </row>
    <row r="54" spans="1:6" ht="28.5">
      <c r="A54" s="127">
        <f>A52+1</f>
        <v>43</v>
      </c>
      <c r="B54" s="446" t="s">
        <v>1708</v>
      </c>
      <c r="C54" s="444"/>
      <c r="D54" s="828"/>
      <c r="E54" s="445"/>
      <c r="F54" s="445"/>
    </row>
    <row r="55" spans="1:6" ht="24.95" customHeight="1">
      <c r="A55" s="127" t="s">
        <v>70</v>
      </c>
      <c r="B55" s="444" t="s">
        <v>1709</v>
      </c>
      <c r="C55" s="444" t="s">
        <v>165</v>
      </c>
      <c r="D55" s="828">
        <v>181</v>
      </c>
      <c r="E55" s="445" t="s">
        <v>1710</v>
      </c>
      <c r="F55" s="445">
        <v>41</v>
      </c>
    </row>
    <row r="56" spans="1:6" ht="24.95" customHeight="1">
      <c r="A56" s="127">
        <f>A54+1</f>
        <v>44</v>
      </c>
      <c r="B56" s="444" t="s">
        <v>1711</v>
      </c>
      <c r="C56" s="444" t="s">
        <v>165</v>
      </c>
      <c r="D56" s="828">
        <v>2.41</v>
      </c>
      <c r="E56" s="445">
        <v>232</v>
      </c>
      <c r="F56" s="445">
        <v>55</v>
      </c>
    </row>
    <row r="57" spans="1:6" ht="28.5">
      <c r="A57" s="127">
        <f>A56+1</f>
        <v>45</v>
      </c>
      <c r="B57" s="446" t="s">
        <v>1712</v>
      </c>
      <c r="C57" s="444" t="s">
        <v>165</v>
      </c>
      <c r="D57" s="828">
        <v>23.1</v>
      </c>
      <c r="E57" s="445">
        <v>111</v>
      </c>
      <c r="F57" s="445">
        <v>41</v>
      </c>
    </row>
    <row r="58" spans="1:6" ht="28.5">
      <c r="A58" s="127">
        <f>A57+1</f>
        <v>46</v>
      </c>
      <c r="B58" s="446" t="s">
        <v>1713</v>
      </c>
      <c r="C58" s="444" t="s">
        <v>165</v>
      </c>
      <c r="D58" s="828">
        <v>49.55</v>
      </c>
      <c r="E58" s="445">
        <v>110</v>
      </c>
      <c r="F58" s="445">
        <v>41</v>
      </c>
    </row>
    <row r="59" spans="1:6" ht="24.95" customHeight="1">
      <c r="A59" s="127">
        <f>A58+1</f>
        <v>47</v>
      </c>
      <c r="B59" s="444" t="s">
        <v>1720</v>
      </c>
      <c r="C59" s="444" t="s">
        <v>1721</v>
      </c>
      <c r="D59" s="828">
        <v>147.5</v>
      </c>
      <c r="E59" s="445">
        <v>144</v>
      </c>
      <c r="F59" s="445">
        <v>45</v>
      </c>
    </row>
    <row r="60" spans="1:6" ht="24.95" customHeight="1">
      <c r="A60" s="127">
        <f>A59+1</f>
        <v>48</v>
      </c>
      <c r="B60" s="444" t="s">
        <v>1722</v>
      </c>
      <c r="C60" s="444" t="s">
        <v>1721</v>
      </c>
      <c r="D60" s="828">
        <v>238.9</v>
      </c>
      <c r="E60" s="445">
        <v>145</v>
      </c>
      <c r="F60" s="445">
        <v>45</v>
      </c>
    </row>
    <row r="61" spans="1:6" ht="24.95" customHeight="1">
      <c r="A61" s="127">
        <f>A60+1</f>
        <v>49</v>
      </c>
      <c r="B61" s="444" t="s">
        <v>1856</v>
      </c>
      <c r="C61" s="444" t="s">
        <v>471</v>
      </c>
      <c r="D61" s="828">
        <v>49.85</v>
      </c>
      <c r="E61" s="445">
        <v>139</v>
      </c>
      <c r="F61" s="445">
        <v>45</v>
      </c>
    </row>
  </sheetData>
  <mergeCells count="3">
    <mergeCell ref="A1:F1"/>
    <mergeCell ref="A2:F2"/>
    <mergeCell ref="B3:F3"/>
  </mergeCells>
  <printOptions horizontalCentered="1"/>
  <pageMargins left="0.59" right="0.39500000000000002" top="0.748" bottom="0.748" header="0.315" footer="0.315"/>
  <pageSetup paperSize="9" scale="74" orientation="portrait" r:id="rId1"/>
  <headerFooter scaleWithDoc="0">
    <oddHeader>&amp;L&amp;"Arial,Regular"&amp;10Proposed Working Women's Hostels for TNWWHSB at Thiruvannamalai.&amp;R&amp;A</oddHeader>
    <oddFooter>&amp;L&amp;"Arial,Regular"&amp;10DIUS Design Consultant Pvt Ltd&amp;C&amp;"Arial,Regular"&amp;P of &amp;N&amp;RKnight Frank (India) Pvt Ltd</oddFooter>
  </headerFooter>
</worksheet>
</file>

<file path=xl/worksheets/sheet8.xml><?xml version="1.0" encoding="utf-8"?>
<worksheet xmlns="http://schemas.openxmlformats.org/spreadsheetml/2006/main" xmlns:r="http://schemas.openxmlformats.org/officeDocument/2006/relationships">
  <sheetPr>
    <tabColor theme="0" tint="-0.14999847407452621"/>
  </sheetPr>
  <dimension ref="A1:R26"/>
  <sheetViews>
    <sheetView view="pageBreakPreview" zoomScale="85" zoomScaleSheetLayoutView="85" workbookViewId="0">
      <pane xSplit="4" ySplit="3" topLeftCell="E4" activePane="bottomRight" state="frozen"/>
      <selection activeCell="E40" sqref="E40"/>
      <selection pane="topRight" activeCell="E40" sqref="E40"/>
      <selection pane="bottomLeft" activeCell="E40" sqref="E40"/>
      <selection pane="bottomRight" activeCell="E40" sqref="E40"/>
    </sheetView>
  </sheetViews>
  <sheetFormatPr defaultColWidth="9.140625" defaultRowHeight="15"/>
  <cols>
    <col min="1" max="1" width="9" style="139" bestFit="1" customWidth="1"/>
    <col min="2" max="2" width="50.7109375" style="139" customWidth="1"/>
    <col min="3" max="3" width="7.5703125" style="139" customWidth="1"/>
    <col min="4" max="4" width="11.42578125" style="141" bestFit="1" customWidth="1"/>
    <col min="5" max="5" width="14.140625" style="141" customWidth="1"/>
    <col min="6" max="6" width="18.7109375" style="139" bestFit="1" customWidth="1"/>
    <col min="7" max="7" width="17.5703125" style="139" customWidth="1"/>
    <col min="8" max="8" width="21.28515625" style="139" customWidth="1"/>
    <col min="9" max="10" width="9.140625" style="139"/>
    <col min="11" max="11" width="13.5703125" style="139" bestFit="1" customWidth="1"/>
    <col min="12" max="12" width="18" style="139" bestFit="1" customWidth="1"/>
    <col min="13" max="16" width="9.140625" style="139"/>
    <col min="17" max="17" width="10.28515625" style="139" bestFit="1" customWidth="1"/>
    <col min="18" max="18" width="13.5703125" style="139" bestFit="1" customWidth="1"/>
    <col min="19" max="16384" width="9.140625" style="139"/>
  </cols>
  <sheetData>
    <row r="1" spans="1:18" ht="32.25" customHeight="1">
      <c r="A1" s="763" t="s">
        <v>1860</v>
      </c>
      <c r="B1" s="764"/>
      <c r="C1" s="764"/>
      <c r="D1" s="764"/>
      <c r="E1" s="764"/>
      <c r="F1" s="764"/>
      <c r="G1" s="764"/>
      <c r="H1" s="765"/>
    </row>
    <row r="2" spans="1:18" ht="30" customHeight="1">
      <c r="A2" s="766" t="s">
        <v>781</v>
      </c>
      <c r="B2" s="767"/>
      <c r="C2" s="767"/>
      <c r="D2" s="767"/>
      <c r="E2" s="767"/>
      <c r="F2" s="767"/>
      <c r="G2" s="767"/>
      <c r="H2" s="768"/>
    </row>
    <row r="3" spans="1:18" ht="31.5" customHeight="1">
      <c r="A3" s="198" t="s">
        <v>768</v>
      </c>
      <c r="B3" s="198" t="s">
        <v>1</v>
      </c>
      <c r="C3" s="198" t="s">
        <v>146</v>
      </c>
      <c r="D3" s="199" t="s">
        <v>148</v>
      </c>
      <c r="E3" s="200" t="s">
        <v>770</v>
      </c>
      <c r="F3" s="201" t="s">
        <v>771</v>
      </c>
      <c r="G3" s="198" t="s">
        <v>7</v>
      </c>
      <c r="H3" s="198" t="s">
        <v>769</v>
      </c>
    </row>
    <row r="4" spans="1:18" ht="27.75" customHeight="1">
      <c r="A4" s="202" t="s">
        <v>772</v>
      </c>
      <c r="B4" s="203" t="s">
        <v>780</v>
      </c>
      <c r="C4" s="204"/>
      <c r="D4" s="205"/>
      <c r="E4" s="205"/>
      <c r="F4" s="205"/>
      <c r="G4" s="205"/>
      <c r="H4" s="205"/>
    </row>
    <row r="5" spans="1:18" ht="15.75">
      <c r="A5" s="421">
        <v>1</v>
      </c>
      <c r="B5" s="422" t="s">
        <v>1861</v>
      </c>
      <c r="C5" s="421"/>
      <c r="D5" s="423"/>
      <c r="E5" s="424"/>
      <c r="F5" s="424"/>
      <c r="G5" s="425"/>
      <c r="H5" s="425"/>
    </row>
    <row r="6" spans="1:18" ht="87" customHeight="1">
      <c r="A6" s="421" t="s">
        <v>71</v>
      </c>
      <c r="B6" s="453" t="s">
        <v>1869</v>
      </c>
      <c r="C6" s="421" t="s">
        <v>51</v>
      </c>
      <c r="D6" s="424">
        <f>'Detailed Estimate Furniture'!J8</f>
        <v>1</v>
      </c>
      <c r="E6" s="424">
        <f>'Comparison - Annexure 1'!K7</f>
        <v>11250</v>
      </c>
      <c r="F6" s="424">
        <f t="shared" ref="F6:F12" si="0">IFERROR(ROUND(D6*E6,0),"")</f>
        <v>11250</v>
      </c>
      <c r="G6" s="426" t="s">
        <v>776</v>
      </c>
      <c r="H6" s="425"/>
      <c r="L6" s="147"/>
    </row>
    <row r="7" spans="1:18" ht="87" customHeight="1">
      <c r="A7" s="421" t="s">
        <v>70</v>
      </c>
      <c r="B7" s="453" t="s">
        <v>1868</v>
      </c>
      <c r="C7" s="421" t="s">
        <v>51</v>
      </c>
      <c r="D7" s="424">
        <f>'Detailed Estimate Furniture'!J11</f>
        <v>1</v>
      </c>
      <c r="E7" s="424">
        <f>'Comparison - Annexure 1'!K8</f>
        <v>4500</v>
      </c>
      <c r="F7" s="424">
        <f t="shared" si="0"/>
        <v>4500</v>
      </c>
      <c r="G7" s="426" t="s">
        <v>776</v>
      </c>
      <c r="H7" s="425"/>
      <c r="L7" s="147"/>
    </row>
    <row r="8" spans="1:18" ht="15.75">
      <c r="A8" s="426"/>
      <c r="B8" s="427" t="s">
        <v>1862</v>
      </c>
      <c r="C8" s="421"/>
      <c r="D8" s="423"/>
      <c r="E8" s="424"/>
      <c r="F8" s="424"/>
      <c r="G8" s="426"/>
      <c r="H8" s="425"/>
      <c r="K8" s="443"/>
    </row>
    <row r="9" spans="1:18" ht="75">
      <c r="A9" s="428">
        <v>2</v>
      </c>
      <c r="B9" s="454" t="s">
        <v>1863</v>
      </c>
      <c r="C9" s="430" t="s">
        <v>51</v>
      </c>
      <c r="D9" s="431">
        <f>'Detailed Estimate Furniture'!J33</f>
        <v>134</v>
      </c>
      <c r="E9" s="431">
        <f>'Comparison - Annexure 1'!K10</f>
        <v>6000</v>
      </c>
      <c r="F9" s="431">
        <f t="shared" si="0"/>
        <v>804000</v>
      </c>
      <c r="G9" s="428" t="s">
        <v>776</v>
      </c>
      <c r="H9" s="429"/>
      <c r="L9" s="432"/>
    </row>
    <row r="10" spans="1:18" ht="102" customHeight="1">
      <c r="A10" s="470">
        <v>3</v>
      </c>
      <c r="B10" s="471" t="s">
        <v>1871</v>
      </c>
      <c r="C10" s="430" t="s">
        <v>51</v>
      </c>
      <c r="D10" s="504">
        <f>'Detailed Estimate Furniture'!J37</f>
        <v>1</v>
      </c>
      <c r="E10" s="431">
        <f>'Comparison - Annexure 1'!K11</f>
        <v>300000</v>
      </c>
      <c r="F10" s="431">
        <f t="shared" si="0"/>
        <v>300000</v>
      </c>
      <c r="G10" s="428" t="s">
        <v>776</v>
      </c>
      <c r="H10" s="472"/>
      <c r="L10" s="432"/>
    </row>
    <row r="11" spans="1:18" ht="93.75" customHeight="1">
      <c r="A11" s="470">
        <v>4</v>
      </c>
      <c r="B11" s="471" t="s">
        <v>1872</v>
      </c>
      <c r="C11" s="430" t="s">
        <v>51</v>
      </c>
      <c r="D11" s="504">
        <f>'Detailed Estimate Furniture'!J39</f>
        <v>3</v>
      </c>
      <c r="E11" s="431">
        <f>'Comparison - Annexure 1'!K12</f>
        <v>18750</v>
      </c>
      <c r="F11" s="431">
        <f t="shared" si="0"/>
        <v>56250</v>
      </c>
      <c r="G11" s="428" t="s">
        <v>776</v>
      </c>
      <c r="H11" s="472"/>
      <c r="L11" s="432"/>
    </row>
    <row r="12" spans="1:18" ht="93.75" customHeight="1">
      <c r="A12" s="470">
        <v>5</v>
      </c>
      <c r="B12" s="471" t="s">
        <v>1880</v>
      </c>
      <c r="C12" s="430" t="s">
        <v>51</v>
      </c>
      <c r="D12" s="504">
        <f>'Detailed Estimate Furniture'!J42</f>
        <v>3</v>
      </c>
      <c r="E12" s="431">
        <f>'Comparison - Annexure 1'!K13</f>
        <v>75000</v>
      </c>
      <c r="F12" s="431">
        <f t="shared" si="0"/>
        <v>225000</v>
      </c>
      <c r="G12" s="428" t="s">
        <v>776</v>
      </c>
      <c r="H12" s="472"/>
      <c r="L12" s="432"/>
    </row>
    <row r="13" spans="1:18" ht="25.5" customHeight="1">
      <c r="A13" s="206"/>
      <c r="B13" s="207" t="s">
        <v>773</v>
      </c>
      <c r="C13" s="208"/>
      <c r="D13" s="209"/>
      <c r="E13" s="210"/>
      <c r="F13" s="210">
        <f>SUM(F4:F12)</f>
        <v>1401000</v>
      </c>
      <c r="G13" s="210"/>
      <c r="H13" s="210"/>
      <c r="R13" s="235"/>
    </row>
    <row r="14" spans="1:18" ht="25.5" customHeight="1">
      <c r="A14" s="206"/>
      <c r="B14" s="207" t="s">
        <v>774</v>
      </c>
      <c r="C14" s="208"/>
      <c r="D14" s="209"/>
      <c r="E14" s="210"/>
      <c r="F14" s="210">
        <f>F13*2%</f>
        <v>28020</v>
      </c>
      <c r="G14" s="210"/>
      <c r="H14" s="210"/>
    </row>
    <row r="15" spans="1:18" ht="25.5" customHeight="1">
      <c r="A15" s="206"/>
      <c r="B15" s="207" t="s">
        <v>775</v>
      </c>
      <c r="C15" s="208"/>
      <c r="D15" s="209"/>
      <c r="E15" s="210"/>
      <c r="F15" s="210">
        <f>SUM(F13:F14)</f>
        <v>1429020</v>
      </c>
      <c r="G15" s="210"/>
      <c r="H15" s="210"/>
    </row>
    <row r="18" spans="6:12">
      <c r="F18" s="147"/>
    </row>
    <row r="26" spans="6:12">
      <c r="L26" s="142"/>
    </row>
  </sheetData>
  <mergeCells count="2">
    <mergeCell ref="A1:H1"/>
    <mergeCell ref="A2:H2"/>
  </mergeCells>
  <printOptions horizontalCentered="1"/>
  <pageMargins left="0.59" right="0.39500000000000002" top="0.748" bottom="0.74803149606299202" header="0.31496062992126" footer="0.31496062992126"/>
  <pageSetup paperSize="9" scale="85" orientation="landscape" r:id="rId1"/>
  <headerFooter>
    <oddHeader>&amp;L&amp;"Arial,Regular"Proposed Working Women's Hostels for TNWWHSB at Tiruvannamalai.&amp;R&amp;A</oddHeader>
    <oddFooter>&amp;L&amp;"Tahoma,Regular"DIUS Design Consultants Pvt Ltd&amp;C&amp;P of &amp;N&amp;RKnight Frank (India) Pvt Ltd</oddFooter>
  </headerFooter>
  <drawing r:id="rId2"/>
</worksheet>
</file>

<file path=xl/worksheets/sheet9.xml><?xml version="1.0" encoding="utf-8"?>
<worksheet xmlns="http://schemas.openxmlformats.org/spreadsheetml/2006/main" xmlns:r="http://schemas.openxmlformats.org/officeDocument/2006/relationships">
  <sheetPr>
    <tabColor theme="0" tint="-0.14999847407452621"/>
  </sheetPr>
  <dimension ref="A1:O17"/>
  <sheetViews>
    <sheetView view="pageBreakPreview" zoomScale="85" zoomScaleSheetLayoutView="85" workbookViewId="0">
      <pane xSplit="4" ySplit="3" topLeftCell="E4" activePane="bottomRight" state="frozen"/>
      <selection activeCell="E40" sqref="E40"/>
      <selection pane="topRight" activeCell="E40" sqref="E40"/>
      <selection pane="bottomLeft" activeCell="E40" sqref="E40"/>
      <selection pane="bottomRight" activeCell="E40" sqref="E40"/>
    </sheetView>
  </sheetViews>
  <sheetFormatPr defaultColWidth="9.140625" defaultRowHeight="15"/>
  <cols>
    <col min="1" max="1" width="9" style="18" bestFit="1" customWidth="1"/>
    <col min="2" max="2" width="50.7109375" style="18" customWidth="1"/>
    <col min="3" max="3" width="7.5703125" style="18" customWidth="1"/>
    <col min="4" max="4" width="11.42578125" style="20" bestFit="1" customWidth="1"/>
    <col min="5" max="5" width="14.140625" style="20" customWidth="1"/>
    <col min="6" max="6" width="18.7109375" style="18" bestFit="1" customWidth="1"/>
    <col min="7" max="7" width="16.28515625" style="18" customWidth="1"/>
    <col min="8" max="8" width="40.7109375" style="18" customWidth="1"/>
    <col min="9" max="12" width="9.140625" style="18"/>
    <col min="13" max="13" width="16.85546875" style="18" bestFit="1" customWidth="1"/>
    <col min="14" max="14" width="9.140625" style="18"/>
    <col min="15" max="15" width="16.85546875" style="18" bestFit="1" customWidth="1"/>
    <col min="16" max="16384" width="9.140625" style="18"/>
  </cols>
  <sheetData>
    <row r="1" spans="1:15" ht="32.25" customHeight="1">
      <c r="A1" s="769" t="s">
        <v>1860</v>
      </c>
      <c r="B1" s="770"/>
      <c r="C1" s="770"/>
      <c r="D1" s="770"/>
      <c r="E1" s="770"/>
      <c r="F1" s="770"/>
      <c r="G1" s="770"/>
      <c r="H1" s="771"/>
    </row>
    <row r="2" spans="1:15" ht="32.450000000000003" customHeight="1">
      <c r="A2" s="772" t="s">
        <v>779</v>
      </c>
      <c r="B2" s="773"/>
      <c r="C2" s="773"/>
      <c r="D2" s="773"/>
      <c r="E2" s="773"/>
      <c r="F2" s="773"/>
      <c r="G2" s="773"/>
      <c r="H2" s="774"/>
    </row>
    <row r="3" spans="1:15" ht="32.450000000000003" customHeight="1">
      <c r="A3" s="33" t="s">
        <v>768</v>
      </c>
      <c r="B3" s="33" t="s">
        <v>1</v>
      </c>
      <c r="C3" s="33" t="s">
        <v>146</v>
      </c>
      <c r="D3" s="34" t="s">
        <v>148</v>
      </c>
      <c r="E3" s="35" t="s">
        <v>770</v>
      </c>
      <c r="F3" s="36" t="s">
        <v>771</v>
      </c>
      <c r="G3" s="33" t="s">
        <v>7</v>
      </c>
      <c r="H3" s="33" t="s">
        <v>987</v>
      </c>
    </row>
    <row r="4" spans="1:15" ht="27.75" customHeight="1">
      <c r="A4" s="24" t="s">
        <v>922</v>
      </c>
      <c r="B4" s="25" t="s">
        <v>1752</v>
      </c>
      <c r="C4" s="26"/>
      <c r="D4" s="27"/>
      <c r="E4" s="27"/>
      <c r="F4" s="27"/>
      <c r="G4" s="27"/>
      <c r="H4" s="27"/>
    </row>
    <row r="5" spans="1:15">
      <c r="A5" s="433">
        <v>1</v>
      </c>
      <c r="B5" s="473" t="s">
        <v>988</v>
      </c>
      <c r="C5" s="433"/>
      <c r="D5" s="435"/>
      <c r="E5" s="435"/>
      <c r="F5" s="435"/>
      <c r="G5" s="436"/>
      <c r="H5" s="19"/>
    </row>
    <row r="6" spans="1:15" ht="150.75" customHeight="1">
      <c r="A6" s="433" t="s">
        <v>71</v>
      </c>
      <c r="B6" s="19" t="s">
        <v>1867</v>
      </c>
      <c r="C6" s="433" t="s">
        <v>51</v>
      </c>
      <c r="D6" s="435">
        <f>'Detailed Estimate Furniture'!J48</f>
        <v>10</v>
      </c>
      <c r="E6" s="435">
        <f>'Comparison - Annexure 02'!K7</f>
        <v>18750</v>
      </c>
      <c r="F6" s="435">
        <f t="shared" ref="F6:F11" si="0">IFERROR(ROUND(D6*E6,0),"")</f>
        <v>187500</v>
      </c>
      <c r="G6" s="436" t="s">
        <v>777</v>
      </c>
      <c r="H6" s="19"/>
      <c r="M6" s="466"/>
      <c r="O6" s="466"/>
    </row>
    <row r="7" spans="1:15">
      <c r="A7" s="433">
        <v>2</v>
      </c>
      <c r="B7" s="434" t="s">
        <v>989</v>
      </c>
      <c r="C7" s="433"/>
      <c r="D7" s="435"/>
      <c r="E7" s="435"/>
      <c r="F7" s="435"/>
      <c r="G7" s="436"/>
      <c r="H7" s="19"/>
    </row>
    <row r="8" spans="1:15" ht="143.25" customHeight="1">
      <c r="A8" s="437" t="s">
        <v>71</v>
      </c>
      <c r="B8" s="484" t="s">
        <v>1866</v>
      </c>
      <c r="C8" s="437" t="s">
        <v>51</v>
      </c>
      <c r="D8" s="439">
        <f>'Detailed Estimate Furniture'!J69</f>
        <v>134</v>
      </c>
      <c r="E8" s="439">
        <f>'Comparison - Annexure 02'!K9</f>
        <v>7500</v>
      </c>
      <c r="F8" s="439">
        <f t="shared" si="0"/>
        <v>1005000</v>
      </c>
      <c r="G8" s="440" t="s">
        <v>777</v>
      </c>
      <c r="H8" s="438"/>
      <c r="M8" s="466"/>
      <c r="O8" s="466"/>
    </row>
    <row r="9" spans="1:15" ht="147" customHeight="1">
      <c r="A9" s="479" t="s">
        <v>70</v>
      </c>
      <c r="B9" s="480" t="s">
        <v>1870</v>
      </c>
      <c r="C9" s="479" t="s">
        <v>51</v>
      </c>
      <c r="D9" s="481">
        <f>'Detailed Estimate Furniture'!J94</f>
        <v>96</v>
      </c>
      <c r="E9" s="481">
        <f>'Comparison - Annexure 02'!K10</f>
        <v>4500</v>
      </c>
      <c r="F9" s="481">
        <f t="shared" si="0"/>
        <v>432000</v>
      </c>
      <c r="G9" s="482" t="s">
        <v>777</v>
      </c>
      <c r="H9" s="483"/>
      <c r="M9" s="466"/>
      <c r="O9" s="466"/>
    </row>
    <row r="10" spans="1:15" ht="154.5" customHeight="1">
      <c r="A10" s="433" t="s">
        <v>68</v>
      </c>
      <c r="B10" s="474" t="s">
        <v>1864</v>
      </c>
      <c r="C10" s="433" t="s">
        <v>51</v>
      </c>
      <c r="D10" s="435">
        <f>'Detailed Estimate Furniture'!J119</f>
        <v>134</v>
      </c>
      <c r="E10" s="435">
        <f>'Comparison - Annexure 02'!K11</f>
        <v>4500</v>
      </c>
      <c r="F10" s="435">
        <f t="shared" si="0"/>
        <v>603000</v>
      </c>
      <c r="G10" s="436" t="s">
        <v>777</v>
      </c>
      <c r="H10" s="19"/>
      <c r="M10" s="466"/>
      <c r="O10" s="466"/>
    </row>
    <row r="11" spans="1:15" ht="110.25" customHeight="1">
      <c r="A11" s="437" t="s">
        <v>67</v>
      </c>
      <c r="B11" s="441" t="s">
        <v>1865</v>
      </c>
      <c r="C11" s="437" t="s">
        <v>51</v>
      </c>
      <c r="D11" s="439">
        <f>'Detailed Estimate Furniture'!J144</f>
        <v>134</v>
      </c>
      <c r="E11" s="439">
        <f>'Comparison - Annexure 02'!K12</f>
        <v>2250</v>
      </c>
      <c r="F11" s="439">
        <f t="shared" si="0"/>
        <v>301500</v>
      </c>
      <c r="G11" s="440" t="s">
        <v>777</v>
      </c>
      <c r="H11" s="438"/>
      <c r="M11" s="466"/>
      <c r="O11" s="466"/>
    </row>
    <row r="12" spans="1:15" ht="25.5" customHeight="1">
      <c r="A12" s="28"/>
      <c r="B12" s="29" t="s">
        <v>773</v>
      </c>
      <c r="C12" s="30"/>
      <c r="D12" s="31"/>
      <c r="E12" s="32"/>
      <c r="F12" s="32">
        <f>SUM(F4:F11)</f>
        <v>2529000</v>
      </c>
      <c r="G12" s="32"/>
      <c r="H12" s="32"/>
      <c r="M12" s="467"/>
      <c r="O12" s="466"/>
    </row>
    <row r="13" spans="1:15" ht="25.5" customHeight="1">
      <c r="A13" s="28"/>
      <c r="B13" s="29" t="s">
        <v>774</v>
      </c>
      <c r="C13" s="30"/>
      <c r="D13" s="31"/>
      <c r="E13" s="32"/>
      <c r="F13" s="32">
        <f>F12*2%</f>
        <v>50580</v>
      </c>
      <c r="G13" s="32"/>
      <c r="H13" s="32"/>
    </row>
    <row r="14" spans="1:15" ht="25.5" customHeight="1">
      <c r="A14" s="28"/>
      <c r="B14" s="29" t="s">
        <v>775</v>
      </c>
      <c r="C14" s="30"/>
      <c r="D14" s="31"/>
      <c r="E14" s="32"/>
      <c r="F14" s="32">
        <f>SUM(F12:F13)</f>
        <v>2579580</v>
      </c>
      <c r="G14" s="32"/>
      <c r="H14" s="32"/>
    </row>
    <row r="17" spans="6:6">
      <c r="F17" s="21"/>
    </row>
  </sheetData>
  <mergeCells count="2">
    <mergeCell ref="A1:H1"/>
    <mergeCell ref="A2:H2"/>
  </mergeCells>
  <printOptions horizontalCentered="1"/>
  <pageMargins left="0.59" right="0.39500000000000002" top="0.74803149606299202" bottom="0.74803149606299202" header="0.31496062992126" footer="0.31496062992126"/>
  <pageSetup paperSize="9" scale="80" orientation="landscape" r:id="rId1"/>
  <headerFooter>
    <oddHeader>&amp;L&amp;"Arial,Regular"Proposed Working Women's Hostels for TNWWHSB at Tiruvannamalai.&amp;R&amp;A</oddHeader>
    <oddFooter>&amp;L&amp;"Tahoma,Regular"DIUS Design Consultants Pvt Ltd&amp;C&amp;P of &amp;N&amp;RKnight Frank (India) Pvt Ltd</oddFooter>
  </headerFooter>
  <rowBreaks count="1" manualBreakCount="1">
    <brk id="8"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34</vt:i4>
      </vt:variant>
    </vt:vector>
  </HeadingPairs>
  <TitlesOfParts>
    <vt:vector size="51" baseType="lpstr">
      <vt:lpstr>Summary</vt:lpstr>
      <vt:lpstr>BOQ-C&amp;I</vt:lpstr>
      <vt:lpstr>Detailed Estimate</vt:lpstr>
      <vt:lpstr>Lead Statement</vt:lpstr>
      <vt:lpstr>Data</vt:lpstr>
      <vt:lpstr>Labour</vt:lpstr>
      <vt:lpstr>Material</vt:lpstr>
      <vt:lpstr>Modular Furniture</vt:lpstr>
      <vt:lpstr>Loose Furniture and Chairs</vt:lpstr>
      <vt:lpstr>Detailed Estimate Furniture</vt:lpstr>
      <vt:lpstr>Comparison - Annexure 1</vt:lpstr>
      <vt:lpstr>Comparison - Annexure 02</vt:lpstr>
      <vt:lpstr>Comparison - Annexure 03</vt:lpstr>
      <vt:lpstr>Comparison - Annexure 04</vt:lpstr>
      <vt:lpstr>Comparison - Annexure 05</vt:lpstr>
      <vt:lpstr>Comparison - Annexure 06</vt:lpstr>
      <vt:lpstr>C&amp;I Makes</vt:lpstr>
      <vt:lpstr>'BOQ-C&amp;I'!Print_Area</vt:lpstr>
      <vt:lpstr>'C&amp;I Makes'!Print_Area</vt:lpstr>
      <vt:lpstr>'Comparison - Annexure 02'!Print_Area</vt:lpstr>
      <vt:lpstr>'Comparison - Annexure 03'!Print_Area</vt:lpstr>
      <vt:lpstr>'Comparison - Annexure 04'!Print_Area</vt:lpstr>
      <vt:lpstr>'Comparison - Annexure 05'!Print_Area</vt:lpstr>
      <vt:lpstr>'Comparison - Annexure 06'!Print_Area</vt:lpstr>
      <vt:lpstr>'Comparison - Annexure 1'!Print_Area</vt:lpstr>
      <vt:lpstr>Data!Print_Area</vt:lpstr>
      <vt:lpstr>'Detailed Estimate'!Print_Area</vt:lpstr>
      <vt:lpstr>'Detailed Estimate Furniture'!Print_Area</vt:lpstr>
      <vt:lpstr>Labour!Print_Area</vt:lpstr>
      <vt:lpstr>'Lead Statement'!Print_Area</vt:lpstr>
      <vt:lpstr>'Loose Furniture and Chairs'!Print_Area</vt:lpstr>
      <vt:lpstr>Material!Print_Area</vt:lpstr>
      <vt:lpstr>'Modular Furniture'!Print_Area</vt:lpstr>
      <vt:lpstr>Summary!Print_Area</vt:lpstr>
      <vt:lpstr>'BOQ-C&amp;I'!Print_Titles</vt:lpstr>
      <vt:lpstr>'C&amp;I Makes'!Print_Titles</vt:lpstr>
      <vt:lpstr>'Comparison - Annexure 02'!Print_Titles</vt:lpstr>
      <vt:lpstr>'Comparison - Annexure 03'!Print_Titles</vt:lpstr>
      <vt:lpstr>'Comparison - Annexure 04'!Print_Titles</vt:lpstr>
      <vt:lpstr>'Comparison - Annexure 05'!Print_Titles</vt:lpstr>
      <vt:lpstr>'Comparison - Annexure 06'!Print_Titles</vt:lpstr>
      <vt:lpstr>'Comparison - Annexure 1'!Print_Titles</vt:lpstr>
      <vt:lpstr>Data!Print_Titles</vt:lpstr>
      <vt:lpstr>'Detailed Estimate'!Print_Titles</vt:lpstr>
      <vt:lpstr>'Detailed Estimate Furniture'!Print_Titles</vt:lpstr>
      <vt:lpstr>Labour!Print_Titles</vt:lpstr>
      <vt:lpstr>'Lead Statement'!Print_Titles</vt:lpstr>
      <vt:lpstr>'Loose Furniture and Chairs'!Print_Titles</vt:lpstr>
      <vt:lpstr>Material!Print_Titles</vt:lpstr>
      <vt:lpstr>'Modular Furniture'!Print_Titles</vt:lpstr>
      <vt:lpstr>Summary!Print_Titles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dc:creator>
  <cp:lastModifiedBy>WELCOME</cp:lastModifiedBy>
  <cp:lastPrinted>2023-03-09T02:45:29Z</cp:lastPrinted>
  <dcterms:created xsi:type="dcterms:W3CDTF">2015-06-05T18:17:20Z</dcterms:created>
  <dcterms:modified xsi:type="dcterms:W3CDTF">2023-07-05T05:15:33Z</dcterms:modified>
</cp:coreProperties>
</file>